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28725" windowHeight="12525" tabRatio="500"/>
  </bookViews>
  <sheets>
    <sheet name="17.12.2025 уточ" sheetId="11" r:id="rId1"/>
  </sheets>
  <externalReferences>
    <externalReference r:id="rId2"/>
  </externalReferences>
  <definedNames>
    <definedName name="_xlnm._FilterDatabase" localSheetId="0" hidden="1">'17.12.2025 уточ'!$C$39:$C$40</definedName>
    <definedName name="Z_D9A49370_59EF_4DF5_B20D_A46D1CBDF607_.wvu.PrintTitles" localSheetId="0">'17.12.2025 уточ'!$5:$8</definedName>
    <definedName name="Z_D9A49370_59EF_4DF5_B20D_A46D1CBDF607_.wvu.Rows" localSheetId="0">'[1]04.12'!#REF!</definedName>
    <definedName name="_xlnm.Print_Titles" localSheetId="0">'17.12.2025 уточ'!$5:$9</definedName>
    <definedName name="_xlnm.Print_Area" localSheetId="0">'17.12.2025 уточ'!$A$1:$T$192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2" i="11"/>
  <c r="E118"/>
  <c r="L118" s="1"/>
  <c r="G50"/>
  <c r="G53" s="1"/>
  <c r="G55" s="1"/>
  <c r="K23"/>
  <c r="E166"/>
  <c r="E168" s="1"/>
  <c r="E170" s="1"/>
  <c r="E88"/>
  <c r="E43"/>
  <c r="L43" s="1"/>
  <c r="Q41"/>
  <c r="D133"/>
  <c r="F133" s="1"/>
  <c r="G68"/>
  <c r="F68"/>
  <c r="K53"/>
  <c r="K50"/>
  <c r="D53"/>
  <c r="E53"/>
  <c r="E196"/>
  <c r="D196"/>
  <c r="J192"/>
  <c r="Z191"/>
  <c r="Y191"/>
  <c r="I191"/>
  <c r="E191"/>
  <c r="D191"/>
  <c r="P190"/>
  <c r="P192" s="1"/>
  <c r="E190"/>
  <c r="E192" s="1"/>
  <c r="D190"/>
  <c r="D192" s="1"/>
  <c r="Z189"/>
  <c r="I189"/>
  <c r="I190" s="1"/>
  <c r="I192" s="1"/>
  <c r="H189"/>
  <c r="H190" s="1"/>
  <c r="H192" s="1"/>
  <c r="G189"/>
  <c r="G190" s="1"/>
  <c r="F189"/>
  <c r="Y189" s="1"/>
  <c r="Z188"/>
  <c r="Y188"/>
  <c r="Q188"/>
  <c r="R188" s="1"/>
  <c r="P188"/>
  <c r="Y187"/>
  <c r="S187"/>
  <c r="R187"/>
  <c r="Q187"/>
  <c r="Q190" s="1"/>
  <c r="Q192" s="1"/>
  <c r="P187"/>
  <c r="M186"/>
  <c r="M190" s="1"/>
  <c r="M192" s="1"/>
  <c r="L186"/>
  <c r="K186"/>
  <c r="Y186" s="1"/>
  <c r="Z185"/>
  <c r="Y185"/>
  <c r="T184"/>
  <c r="L184"/>
  <c r="K184"/>
  <c r="Z183"/>
  <c r="Y183"/>
  <c r="S183"/>
  <c r="E183"/>
  <c r="D183"/>
  <c r="D184" s="1"/>
  <c r="M182"/>
  <c r="M184" s="1"/>
  <c r="L182"/>
  <c r="K182"/>
  <c r="D182"/>
  <c r="R181"/>
  <c r="Q181"/>
  <c r="P181"/>
  <c r="Y181" s="1"/>
  <c r="P180"/>
  <c r="E180"/>
  <c r="Q180" s="1"/>
  <c r="Z179"/>
  <c r="Y179"/>
  <c r="M179"/>
  <c r="L179"/>
  <c r="N179" s="1"/>
  <c r="N182" s="1"/>
  <c r="N184" s="1"/>
  <c r="K179"/>
  <c r="Z178"/>
  <c r="Y178"/>
  <c r="G177"/>
  <c r="K176"/>
  <c r="K177" s="1"/>
  <c r="G176"/>
  <c r="F176"/>
  <c r="E176"/>
  <c r="E177" s="1"/>
  <c r="D176"/>
  <c r="D177" s="1"/>
  <c r="Q175"/>
  <c r="P175"/>
  <c r="Y175" s="1"/>
  <c r="Z174"/>
  <c r="Y174"/>
  <c r="M174"/>
  <c r="M176" s="1"/>
  <c r="M177" s="1"/>
  <c r="L174"/>
  <c r="N174" s="1"/>
  <c r="K174"/>
  <c r="Z173"/>
  <c r="Y173"/>
  <c r="N173"/>
  <c r="N176" s="1"/>
  <c r="N177" s="1"/>
  <c r="L173"/>
  <c r="L176" s="1"/>
  <c r="L177" s="1"/>
  <c r="K173"/>
  <c r="H172"/>
  <c r="H176" s="1"/>
  <c r="H177" s="1"/>
  <c r="G172"/>
  <c r="F172"/>
  <c r="Y172" s="1"/>
  <c r="Z171"/>
  <c r="Y171"/>
  <c r="K170"/>
  <c r="J170"/>
  <c r="Z169"/>
  <c r="Y169"/>
  <c r="K168"/>
  <c r="D168"/>
  <c r="D170" s="1"/>
  <c r="Y167"/>
  <c r="P167"/>
  <c r="P168" s="1"/>
  <c r="P170" s="1"/>
  <c r="E167"/>
  <c r="Q167" s="1"/>
  <c r="Y166"/>
  <c r="K166"/>
  <c r="Y165"/>
  <c r="G165"/>
  <c r="H165" s="1"/>
  <c r="F165"/>
  <c r="I164"/>
  <c r="H164"/>
  <c r="G164"/>
  <c r="F164"/>
  <c r="F168" s="1"/>
  <c r="Z163"/>
  <c r="Y163"/>
  <c r="E162"/>
  <c r="M161"/>
  <c r="M162" s="1"/>
  <c r="L161"/>
  <c r="L162" s="1"/>
  <c r="K161"/>
  <c r="K162" s="1"/>
  <c r="E161"/>
  <c r="D161"/>
  <c r="D162" s="1"/>
  <c r="Z160"/>
  <c r="Y160"/>
  <c r="G160"/>
  <c r="H160" s="1"/>
  <c r="F160"/>
  <c r="Y159"/>
  <c r="N159"/>
  <c r="N161" s="1"/>
  <c r="N162" s="1"/>
  <c r="M159"/>
  <c r="L159"/>
  <c r="Z159" s="1"/>
  <c r="K159"/>
  <c r="H158"/>
  <c r="G158"/>
  <c r="F158"/>
  <c r="Y158" s="1"/>
  <c r="Z157"/>
  <c r="I157"/>
  <c r="H157"/>
  <c r="G157"/>
  <c r="F157"/>
  <c r="Z156"/>
  <c r="Y156"/>
  <c r="E153"/>
  <c r="E155" s="1"/>
  <c r="D153"/>
  <c r="D155" s="1"/>
  <c r="R152"/>
  <c r="R153" s="1"/>
  <c r="R155" s="1"/>
  <c r="Q152"/>
  <c r="P152"/>
  <c r="Y152" s="1"/>
  <c r="Z151"/>
  <c r="S151"/>
  <c r="R151"/>
  <c r="Q151"/>
  <c r="P151"/>
  <c r="Z150"/>
  <c r="Y150"/>
  <c r="L150"/>
  <c r="L153" s="1"/>
  <c r="L155" s="1"/>
  <c r="K150"/>
  <c r="K153" s="1"/>
  <c r="K155" s="1"/>
  <c r="Y149"/>
  <c r="N149"/>
  <c r="M149"/>
  <c r="L149"/>
  <c r="Z149" s="1"/>
  <c r="K149"/>
  <c r="H148"/>
  <c r="H153" s="1"/>
  <c r="H155" s="1"/>
  <c r="G148"/>
  <c r="F148"/>
  <c r="Y148" s="1"/>
  <c r="Z147"/>
  <c r="I147"/>
  <c r="H147"/>
  <c r="G147"/>
  <c r="F147"/>
  <c r="Z146"/>
  <c r="Y146"/>
  <c r="J145"/>
  <c r="Z144"/>
  <c r="Y144"/>
  <c r="I144"/>
  <c r="E144"/>
  <c r="D144"/>
  <c r="P143"/>
  <c r="P145" s="1"/>
  <c r="N143"/>
  <c r="N145" s="1"/>
  <c r="F143"/>
  <c r="E143"/>
  <c r="E145" s="1"/>
  <c r="D143"/>
  <c r="D145" s="1"/>
  <c r="Z142"/>
  <c r="S142"/>
  <c r="R142"/>
  <c r="Q142"/>
  <c r="Q143" s="1"/>
  <c r="Q145" s="1"/>
  <c r="P142"/>
  <c r="Y142" s="1"/>
  <c r="Z141"/>
  <c r="Y141"/>
  <c r="Q141"/>
  <c r="R141" s="1"/>
  <c r="P141"/>
  <c r="Y140"/>
  <c r="N140"/>
  <c r="M140"/>
  <c r="M143" s="1"/>
  <c r="M145" s="1"/>
  <c r="L140"/>
  <c r="Z140" s="1"/>
  <c r="K140"/>
  <c r="K143" s="1"/>
  <c r="K145" s="1"/>
  <c r="Y139"/>
  <c r="H139"/>
  <c r="H143" s="1"/>
  <c r="H145" s="1"/>
  <c r="G139"/>
  <c r="G143" s="1"/>
  <c r="Z138"/>
  <c r="Y138"/>
  <c r="J137"/>
  <c r="Z136"/>
  <c r="Y136"/>
  <c r="I136"/>
  <c r="E136"/>
  <c r="D136"/>
  <c r="E135"/>
  <c r="E137" s="1"/>
  <c r="M134"/>
  <c r="M135" s="1"/>
  <c r="M137" s="1"/>
  <c r="L134"/>
  <c r="K134"/>
  <c r="K135" s="1"/>
  <c r="K137" s="1"/>
  <c r="Z133"/>
  <c r="I133"/>
  <c r="H133"/>
  <c r="G133"/>
  <c r="G135" s="1"/>
  <c r="G137" s="1"/>
  <c r="Z132"/>
  <c r="Y132"/>
  <c r="G132"/>
  <c r="H132" s="1"/>
  <c r="F132"/>
  <c r="D132"/>
  <c r="D135" s="1"/>
  <c r="D137" s="1"/>
  <c r="Z131"/>
  <c r="Y131"/>
  <c r="V131"/>
  <c r="W21" s="1"/>
  <c r="G131"/>
  <c r="H131" s="1"/>
  <c r="F131"/>
  <c r="Z130"/>
  <c r="Y130"/>
  <c r="T129"/>
  <c r="O129"/>
  <c r="D129"/>
  <c r="Z128"/>
  <c r="Y128"/>
  <c r="S128"/>
  <c r="N128"/>
  <c r="E128"/>
  <c r="D128"/>
  <c r="K127"/>
  <c r="K129" s="1"/>
  <c r="E127"/>
  <c r="E129" s="1"/>
  <c r="D127"/>
  <c r="Z126"/>
  <c r="S126"/>
  <c r="R126"/>
  <c r="Q126"/>
  <c r="P126"/>
  <c r="Z125"/>
  <c r="Y125"/>
  <c r="Q125"/>
  <c r="R125" s="1"/>
  <c r="R127" s="1"/>
  <c r="R129" s="1"/>
  <c r="P125"/>
  <c r="Y124"/>
  <c r="N124"/>
  <c r="N127" s="1"/>
  <c r="N129" s="1"/>
  <c r="M124"/>
  <c r="M127" s="1"/>
  <c r="M129" s="1"/>
  <c r="L124"/>
  <c r="L127" s="1"/>
  <c r="K124"/>
  <c r="Z123"/>
  <c r="Y123"/>
  <c r="T122"/>
  <c r="J122"/>
  <c r="Z121"/>
  <c r="Y121"/>
  <c r="I121"/>
  <c r="E121"/>
  <c r="D121"/>
  <c r="K120"/>
  <c r="K122" s="1"/>
  <c r="Z119"/>
  <c r="Y119"/>
  <c r="S119"/>
  <c r="S120" s="1"/>
  <c r="S122" s="1"/>
  <c r="R119"/>
  <c r="R120" s="1"/>
  <c r="R122" s="1"/>
  <c r="Q119"/>
  <c r="Q120" s="1"/>
  <c r="Q122" s="1"/>
  <c r="P119"/>
  <c r="P120" s="1"/>
  <c r="P122" s="1"/>
  <c r="K118"/>
  <c r="Y118" s="1"/>
  <c r="G117"/>
  <c r="F117"/>
  <c r="F120" s="1"/>
  <c r="Y120" s="1"/>
  <c r="D117"/>
  <c r="D120" s="1"/>
  <c r="D122" s="1"/>
  <c r="Z116"/>
  <c r="Y116"/>
  <c r="L115"/>
  <c r="P113"/>
  <c r="P115" s="1"/>
  <c r="L113"/>
  <c r="K113"/>
  <c r="K115" s="1"/>
  <c r="E113"/>
  <c r="E115" s="1"/>
  <c r="D113"/>
  <c r="D115" s="1"/>
  <c r="Z112"/>
  <c r="Y112"/>
  <c r="N112"/>
  <c r="N113" s="1"/>
  <c r="N115" s="1"/>
  <c r="M112"/>
  <c r="M113" s="1"/>
  <c r="M115" s="1"/>
  <c r="L112"/>
  <c r="K112"/>
  <c r="S111"/>
  <c r="S113" s="1"/>
  <c r="S115" s="1"/>
  <c r="R111"/>
  <c r="R113" s="1"/>
  <c r="R115" s="1"/>
  <c r="Q111"/>
  <c r="Z111" s="1"/>
  <c r="P111"/>
  <c r="Y111" s="1"/>
  <c r="G110"/>
  <c r="F110"/>
  <c r="F113" s="1"/>
  <c r="Z109"/>
  <c r="Y109"/>
  <c r="R108"/>
  <c r="Q108"/>
  <c r="Z107"/>
  <c r="Y107"/>
  <c r="E107"/>
  <c r="D107"/>
  <c r="R106"/>
  <c r="Q106"/>
  <c r="M106"/>
  <c r="M108" s="1"/>
  <c r="L106"/>
  <c r="L108" s="1"/>
  <c r="K106"/>
  <c r="K108" s="1"/>
  <c r="E106"/>
  <c r="D106"/>
  <c r="D108" s="1"/>
  <c r="Z105"/>
  <c r="Y105"/>
  <c r="M105"/>
  <c r="L105"/>
  <c r="N105" s="1"/>
  <c r="N106" s="1"/>
  <c r="N108" s="1"/>
  <c r="K105"/>
  <c r="Z104"/>
  <c r="Y104"/>
  <c r="S104"/>
  <c r="S106" s="1"/>
  <c r="S108" s="1"/>
  <c r="R104"/>
  <c r="Q104"/>
  <c r="P104"/>
  <c r="P106" s="1"/>
  <c r="P108" s="1"/>
  <c r="I103"/>
  <c r="H103"/>
  <c r="G103"/>
  <c r="Z103" s="1"/>
  <c r="F103"/>
  <c r="Y103" s="1"/>
  <c r="G102"/>
  <c r="F102"/>
  <c r="F106" s="1"/>
  <c r="Z101"/>
  <c r="Y101"/>
  <c r="N100"/>
  <c r="M100"/>
  <c r="L100"/>
  <c r="E100"/>
  <c r="D100"/>
  <c r="Z99"/>
  <c r="Y99"/>
  <c r="I99"/>
  <c r="E99"/>
  <c r="D99"/>
  <c r="N98"/>
  <c r="M98"/>
  <c r="L98"/>
  <c r="F98"/>
  <c r="F100" s="1"/>
  <c r="E98"/>
  <c r="D98"/>
  <c r="Z97"/>
  <c r="N97"/>
  <c r="M97"/>
  <c r="L97"/>
  <c r="K97"/>
  <c r="Z96"/>
  <c r="Y96"/>
  <c r="G96"/>
  <c r="G98" s="1"/>
  <c r="F96"/>
  <c r="Z95"/>
  <c r="Y95"/>
  <c r="I95"/>
  <c r="H95"/>
  <c r="Z94"/>
  <c r="Y94"/>
  <c r="R93"/>
  <c r="E92"/>
  <c r="D92"/>
  <c r="D91"/>
  <c r="D93" s="1"/>
  <c r="Y90"/>
  <c r="S90"/>
  <c r="S91" s="1"/>
  <c r="S93" s="1"/>
  <c r="R90"/>
  <c r="R91" s="1"/>
  <c r="Q90"/>
  <c r="Z90" s="1"/>
  <c r="P90"/>
  <c r="P91" s="1"/>
  <c r="P93" s="1"/>
  <c r="M89"/>
  <c r="L89"/>
  <c r="K89"/>
  <c r="Y89" s="1"/>
  <c r="K88"/>
  <c r="Y88" s="1"/>
  <c r="L88"/>
  <c r="Y87"/>
  <c r="F87"/>
  <c r="F91" s="1"/>
  <c r="F93" s="1"/>
  <c r="E87"/>
  <c r="Z86"/>
  <c r="Y86"/>
  <c r="T85"/>
  <c r="O85"/>
  <c r="K85"/>
  <c r="J85"/>
  <c r="I85"/>
  <c r="H85"/>
  <c r="G85"/>
  <c r="F85"/>
  <c r="Z84"/>
  <c r="Y84"/>
  <c r="N84"/>
  <c r="I84"/>
  <c r="E84"/>
  <c r="D84"/>
  <c r="R83"/>
  <c r="R85" s="1"/>
  <c r="Q83"/>
  <c r="Q85" s="1"/>
  <c r="P83"/>
  <c r="P85" s="1"/>
  <c r="M83"/>
  <c r="M85" s="1"/>
  <c r="E83"/>
  <c r="E85" s="1"/>
  <c r="D83"/>
  <c r="D85" s="1"/>
  <c r="Z82"/>
  <c r="Y82"/>
  <c r="R82"/>
  <c r="Q82"/>
  <c r="S82" s="1"/>
  <c r="S83" s="1"/>
  <c r="S85" s="1"/>
  <c r="P82"/>
  <c r="Z81"/>
  <c r="Y81"/>
  <c r="N81"/>
  <c r="N83" s="1"/>
  <c r="N85" s="1"/>
  <c r="L81"/>
  <c r="L83" s="1"/>
  <c r="K81"/>
  <c r="K83" s="1"/>
  <c r="Y83" s="1"/>
  <c r="Z80"/>
  <c r="Y80"/>
  <c r="T79"/>
  <c r="J79"/>
  <c r="Z78"/>
  <c r="Y78"/>
  <c r="S78"/>
  <c r="I78"/>
  <c r="E78"/>
  <c r="D78"/>
  <c r="G77"/>
  <c r="G79" s="1"/>
  <c r="D77"/>
  <c r="Z76"/>
  <c r="Y76"/>
  <c r="Q76"/>
  <c r="Q77" s="1"/>
  <c r="Q79" s="1"/>
  <c r="P76"/>
  <c r="P77" s="1"/>
  <c r="P79" s="1"/>
  <c r="Y75"/>
  <c r="N75"/>
  <c r="L75"/>
  <c r="Z75" s="1"/>
  <c r="K75"/>
  <c r="L74"/>
  <c r="K74"/>
  <c r="Y74" s="1"/>
  <c r="E74"/>
  <c r="E77" s="1"/>
  <c r="E79" s="1"/>
  <c r="Z73"/>
  <c r="I73"/>
  <c r="I77" s="1"/>
  <c r="I79" s="1"/>
  <c r="H73"/>
  <c r="H77" s="1"/>
  <c r="H79" s="1"/>
  <c r="G73"/>
  <c r="F73"/>
  <c r="Z72"/>
  <c r="Y72"/>
  <c r="J71"/>
  <c r="D71"/>
  <c r="Z70"/>
  <c r="Y70"/>
  <c r="I70"/>
  <c r="E70"/>
  <c r="D70"/>
  <c r="D69"/>
  <c r="F67"/>
  <c r="Y67" s="1"/>
  <c r="E67"/>
  <c r="G67" s="1"/>
  <c r="Z66"/>
  <c r="Y66"/>
  <c r="T65"/>
  <c r="O65"/>
  <c r="J65"/>
  <c r="Z64"/>
  <c r="Y64"/>
  <c r="S64"/>
  <c r="N64"/>
  <c r="I64"/>
  <c r="G64"/>
  <c r="F64"/>
  <c r="E64"/>
  <c r="D64"/>
  <c r="D65" s="1"/>
  <c r="E63"/>
  <c r="E65" s="1"/>
  <c r="D63"/>
  <c r="Z62"/>
  <c r="Y62"/>
  <c r="R62"/>
  <c r="R63" s="1"/>
  <c r="R65" s="1"/>
  <c r="Q62"/>
  <c r="Q63" s="1"/>
  <c r="Q65" s="1"/>
  <c r="P62"/>
  <c r="Z61"/>
  <c r="Y61"/>
  <c r="S61"/>
  <c r="R61"/>
  <c r="Q61"/>
  <c r="P61"/>
  <c r="P63" s="1"/>
  <c r="P65" s="1"/>
  <c r="I60"/>
  <c r="I63" s="1"/>
  <c r="I65" s="1"/>
  <c r="H60"/>
  <c r="H63" s="1"/>
  <c r="H65" s="1"/>
  <c r="G60"/>
  <c r="G63" s="1"/>
  <c r="F60"/>
  <c r="F63" s="1"/>
  <c r="L59"/>
  <c r="K59"/>
  <c r="Z58"/>
  <c r="Y58"/>
  <c r="M58"/>
  <c r="N58" s="1"/>
  <c r="K58"/>
  <c r="Y57"/>
  <c r="K57"/>
  <c r="E57"/>
  <c r="L57" s="1"/>
  <c r="Z56"/>
  <c r="Y56"/>
  <c r="T55"/>
  <c r="R55"/>
  <c r="Q55"/>
  <c r="P55"/>
  <c r="Z54"/>
  <c r="Y54"/>
  <c r="S54"/>
  <c r="S55" s="1"/>
  <c r="E54"/>
  <c r="D54"/>
  <c r="F53"/>
  <c r="F55" s="1"/>
  <c r="E55"/>
  <c r="D55"/>
  <c r="L52"/>
  <c r="K52"/>
  <c r="Z51"/>
  <c r="Y51"/>
  <c r="M51"/>
  <c r="L51"/>
  <c r="K51"/>
  <c r="Z49"/>
  <c r="Y49"/>
  <c r="I49"/>
  <c r="H49"/>
  <c r="G49"/>
  <c r="F49"/>
  <c r="Z48"/>
  <c r="Y48"/>
  <c r="T47"/>
  <c r="O47"/>
  <c r="J47"/>
  <c r="Z46"/>
  <c r="Y46"/>
  <c r="N46"/>
  <c r="I46"/>
  <c r="E46"/>
  <c r="E23" s="1"/>
  <c r="D46"/>
  <c r="Z44"/>
  <c r="N44"/>
  <c r="M44"/>
  <c r="L44"/>
  <c r="K44"/>
  <c r="Y44" s="1"/>
  <c r="Y43"/>
  <c r="K43"/>
  <c r="Y42"/>
  <c r="N42"/>
  <c r="M42"/>
  <c r="L42"/>
  <c r="Z42" s="1"/>
  <c r="K42"/>
  <c r="P41"/>
  <c r="D40"/>
  <c r="E40" s="1"/>
  <c r="Z39"/>
  <c r="Y39"/>
  <c r="R39"/>
  <c r="Q39"/>
  <c r="P39"/>
  <c r="Z38"/>
  <c r="Y38"/>
  <c r="I38"/>
  <c r="H38"/>
  <c r="G38"/>
  <c r="F38"/>
  <c r="I37"/>
  <c r="H37"/>
  <c r="G37"/>
  <c r="Z37" s="1"/>
  <c r="F37"/>
  <c r="Y37" s="1"/>
  <c r="D37"/>
  <c r="M36"/>
  <c r="L36"/>
  <c r="K36"/>
  <c r="Y36" s="1"/>
  <c r="Z35"/>
  <c r="I35"/>
  <c r="H35"/>
  <c r="G35"/>
  <c r="F35"/>
  <c r="Y35" s="1"/>
  <c r="Z34"/>
  <c r="Y34"/>
  <c r="G34"/>
  <c r="F34"/>
  <c r="Z33"/>
  <c r="Y33"/>
  <c r="L32"/>
  <c r="J32"/>
  <c r="D32"/>
  <c r="Z31"/>
  <c r="Y31"/>
  <c r="I31"/>
  <c r="E31"/>
  <c r="D31"/>
  <c r="E30"/>
  <c r="E32" s="1"/>
  <c r="D30"/>
  <c r="Y29"/>
  <c r="S29"/>
  <c r="R29"/>
  <c r="Q29"/>
  <c r="Z29" s="1"/>
  <c r="P29"/>
  <c r="R28"/>
  <c r="R30" s="1"/>
  <c r="Q28"/>
  <c r="P28"/>
  <c r="Y28" s="1"/>
  <c r="Z27"/>
  <c r="N27"/>
  <c r="N30" s="1"/>
  <c r="M27"/>
  <c r="M30" s="1"/>
  <c r="L27"/>
  <c r="L30" s="1"/>
  <c r="K27"/>
  <c r="Y27" s="1"/>
  <c r="Z25"/>
  <c r="Y25"/>
  <c r="G25"/>
  <c r="H25" s="1"/>
  <c r="H30" s="1"/>
  <c r="F25"/>
  <c r="F30" s="1"/>
  <c r="T23"/>
  <c r="R23"/>
  <c r="Q23"/>
  <c r="P23"/>
  <c r="O23"/>
  <c r="O20" s="1"/>
  <c r="N23"/>
  <c r="M23"/>
  <c r="L23"/>
  <c r="J23"/>
  <c r="J20" s="1"/>
  <c r="H23"/>
  <c r="G23"/>
  <c r="F23"/>
  <c r="T22"/>
  <c r="T20" s="1"/>
  <c r="E12"/>
  <c r="D12"/>
  <c r="H50" l="1"/>
  <c r="I50" s="1"/>
  <c r="I53" s="1"/>
  <c r="I55" s="1"/>
  <c r="L50"/>
  <c r="Y23"/>
  <c r="L166"/>
  <c r="Z118"/>
  <c r="L120"/>
  <c r="L122" s="1"/>
  <c r="M118"/>
  <c r="M120" s="1"/>
  <c r="M122" s="1"/>
  <c r="E120"/>
  <c r="E122" s="1"/>
  <c r="M43"/>
  <c r="N43" s="1"/>
  <c r="Z43"/>
  <c r="Y41"/>
  <c r="I168"/>
  <c r="I170" s="1"/>
  <c r="H168"/>
  <c r="H170" s="1"/>
  <c r="G168"/>
  <c r="Z165"/>
  <c r="I165"/>
  <c r="H135"/>
  <c r="H137" s="1"/>
  <c r="Z23"/>
  <c r="V23"/>
  <c r="W23"/>
  <c r="E108"/>
  <c r="Z68"/>
  <c r="I68"/>
  <c r="H68"/>
  <c r="G45"/>
  <c r="G47" s="1"/>
  <c r="Q40"/>
  <c r="E45"/>
  <c r="E22" s="1"/>
  <c r="N88"/>
  <c r="M88"/>
  <c r="Z88"/>
  <c r="Y151"/>
  <c r="P153"/>
  <c r="P155" s="1"/>
  <c r="N36"/>
  <c r="Z36"/>
  <c r="L45"/>
  <c r="L47" s="1"/>
  <c r="H117"/>
  <c r="H120" s="1"/>
  <c r="H122" s="1"/>
  <c r="G120"/>
  <c r="Z117"/>
  <c r="G145"/>
  <c r="Y147"/>
  <c r="F153"/>
  <c r="V177"/>
  <c r="G65"/>
  <c r="F115"/>
  <c r="Y113"/>
  <c r="F65"/>
  <c r="E91"/>
  <c r="E93" s="1"/>
  <c r="G87"/>
  <c r="S41"/>
  <c r="Z41"/>
  <c r="M59"/>
  <c r="N59" s="1"/>
  <c r="Z59"/>
  <c r="K71"/>
  <c r="Y68"/>
  <c r="L85"/>
  <c r="Z83"/>
  <c r="H102"/>
  <c r="H106" s="1"/>
  <c r="H108" s="1"/>
  <c r="G106"/>
  <c r="Z102"/>
  <c r="F170"/>
  <c r="Y168"/>
  <c r="Z184"/>
  <c r="S152"/>
  <c r="S153" s="1"/>
  <c r="S155" s="1"/>
  <c r="Y182"/>
  <c r="K30"/>
  <c r="R143"/>
  <c r="R145" s="1"/>
  <c r="I148"/>
  <c r="N186"/>
  <c r="N190" s="1"/>
  <c r="N192" s="1"/>
  <c r="F45"/>
  <c r="S63"/>
  <c r="S65" s="1"/>
  <c r="M91"/>
  <c r="M93" s="1"/>
  <c r="Z176"/>
  <c r="N32"/>
  <c r="G69"/>
  <c r="H67"/>
  <c r="H69" s="1"/>
  <c r="H71" s="1"/>
  <c r="Z67"/>
  <c r="Z98"/>
  <c r="G100"/>
  <c r="F161"/>
  <c r="Y157"/>
  <c r="R175"/>
  <c r="R176" s="1"/>
  <c r="R177" s="1"/>
  <c r="Z175"/>
  <c r="G170"/>
  <c r="R32"/>
  <c r="S28"/>
  <c r="S30" s="1"/>
  <c r="Z28"/>
  <c r="Q30"/>
  <c r="M52"/>
  <c r="N52" s="1"/>
  <c r="Z52"/>
  <c r="Z57"/>
  <c r="M57"/>
  <c r="L63"/>
  <c r="L65" s="1"/>
  <c r="Y59"/>
  <c r="K63"/>
  <c r="K65" s="1"/>
  <c r="F77"/>
  <c r="Y73"/>
  <c r="K98"/>
  <c r="Y97"/>
  <c r="F108"/>
  <c r="Y106"/>
  <c r="Q168"/>
  <c r="Q170" s="1"/>
  <c r="R167"/>
  <c r="R168" s="1"/>
  <c r="R170" s="1"/>
  <c r="Z167"/>
  <c r="D23"/>
  <c r="N134"/>
  <c r="N135" s="1"/>
  <c r="N137" s="1"/>
  <c r="F190"/>
  <c r="Y93"/>
  <c r="S143"/>
  <c r="S145" s="1"/>
  <c r="I158"/>
  <c r="I161" s="1"/>
  <c r="I162" s="1"/>
  <c r="Q176"/>
  <c r="Q177" s="1"/>
  <c r="Z177" s="1"/>
  <c r="Y184"/>
  <c r="D79"/>
  <c r="L91"/>
  <c r="L93" s="1"/>
  <c r="K91"/>
  <c r="K93" s="1"/>
  <c r="I172"/>
  <c r="I176" s="1"/>
  <c r="I177" s="1"/>
  <c r="Y176"/>
  <c r="S181"/>
  <c r="H110"/>
  <c r="H113" s="1"/>
  <c r="H115" s="1"/>
  <c r="G113"/>
  <c r="Z110"/>
  <c r="H32"/>
  <c r="Y52"/>
  <c r="M74"/>
  <c r="M77" s="1"/>
  <c r="M79" s="1"/>
  <c r="L77"/>
  <c r="Z74"/>
  <c r="Z127"/>
  <c r="L129"/>
  <c r="P127"/>
  <c r="P129" s="1"/>
  <c r="Y126"/>
  <c r="V137"/>
  <c r="Z137"/>
  <c r="AA137" s="1"/>
  <c r="Y143"/>
  <c r="F145"/>
  <c r="F69"/>
  <c r="U85"/>
  <c r="F122"/>
  <c r="Z135"/>
  <c r="I153"/>
  <c r="I155" s="1"/>
  <c r="H161"/>
  <c r="H162" s="1"/>
  <c r="Q182"/>
  <c r="Q184" s="1"/>
  <c r="V184" s="1"/>
  <c r="S180"/>
  <c r="R180"/>
  <c r="R182" s="1"/>
  <c r="R184" s="1"/>
  <c r="Z180"/>
  <c r="F32"/>
  <c r="P40"/>
  <c r="D45"/>
  <c r="U129"/>
  <c r="Y129"/>
  <c r="Y133"/>
  <c r="F135"/>
  <c r="P182"/>
  <c r="P184" s="1"/>
  <c r="U184" s="1"/>
  <c r="Y180"/>
  <c r="G192"/>
  <c r="Z190"/>
  <c r="M32"/>
  <c r="I23"/>
  <c r="R190"/>
  <c r="R192" s="1"/>
  <c r="I25"/>
  <c r="I30" s="1"/>
  <c r="I34"/>
  <c r="I45" s="1"/>
  <c r="I47" s="1"/>
  <c r="Q91"/>
  <c r="Q93" s="1"/>
  <c r="I96"/>
  <c r="I98" s="1"/>
  <c r="I100" s="1"/>
  <c r="S125"/>
  <c r="S127" s="1"/>
  <c r="S129" s="1"/>
  <c r="Q127"/>
  <c r="Q129" s="1"/>
  <c r="I131"/>
  <c r="I132"/>
  <c r="S141"/>
  <c r="L143"/>
  <c r="L145" s="1"/>
  <c r="I160"/>
  <c r="E182"/>
  <c r="E184" s="1"/>
  <c r="S188"/>
  <c r="S190" s="1"/>
  <c r="S192" s="1"/>
  <c r="L190"/>
  <c r="L192" s="1"/>
  <c r="Q153"/>
  <c r="Q155" s="1"/>
  <c r="F177"/>
  <c r="K77"/>
  <c r="K79" s="1"/>
  <c r="G30"/>
  <c r="S76"/>
  <c r="S77" s="1"/>
  <c r="S79" s="1"/>
  <c r="S23"/>
  <c r="P30"/>
  <c r="H34"/>
  <c r="H45" s="1"/>
  <c r="H47" s="1"/>
  <c r="S39"/>
  <c r="K45"/>
  <c r="K47" s="1"/>
  <c r="N51"/>
  <c r="S62"/>
  <c r="R76"/>
  <c r="R77" s="1"/>
  <c r="R79" s="1"/>
  <c r="Y85"/>
  <c r="H96"/>
  <c r="H98" s="1"/>
  <c r="H100" s="1"/>
  <c r="Q113"/>
  <c r="Q115" s="1"/>
  <c r="M150"/>
  <c r="M153" s="1"/>
  <c r="M155" s="1"/>
  <c r="K190"/>
  <c r="K192" s="1"/>
  <c r="Z89"/>
  <c r="Y110"/>
  <c r="Z148"/>
  <c r="Z152"/>
  <c r="Z172"/>
  <c r="Y134"/>
  <c r="Z164"/>
  <c r="E69"/>
  <c r="E71" s="1"/>
  <c r="G153"/>
  <c r="P176"/>
  <c r="P177" s="1"/>
  <c r="Y102"/>
  <c r="Y117"/>
  <c r="Z134"/>
  <c r="L135"/>
  <c r="L137" s="1"/>
  <c r="Z139"/>
  <c r="Z158"/>
  <c r="G161"/>
  <c r="Z181"/>
  <c r="Z186"/>
  <c r="Z60"/>
  <c r="Y60"/>
  <c r="N89"/>
  <c r="Z124"/>
  <c r="I139"/>
  <c r="I143" s="1"/>
  <c r="I145" s="1"/>
  <c r="Y164"/>
  <c r="Z187"/>
  <c r="H53" l="1"/>
  <c r="H55" s="1"/>
  <c r="M50"/>
  <c r="M53" s="1"/>
  <c r="M55" s="1"/>
  <c r="L53"/>
  <c r="L55" s="1"/>
  <c r="Z55" s="1"/>
  <c r="M166"/>
  <c r="L168"/>
  <c r="L170" s="1"/>
  <c r="V170" s="1"/>
  <c r="Z166"/>
  <c r="N118"/>
  <c r="N120" s="1"/>
  <c r="N122" s="1"/>
  <c r="N45"/>
  <c r="N47" s="1"/>
  <c r="M45"/>
  <c r="M47" s="1"/>
  <c r="N71"/>
  <c r="L71"/>
  <c r="M71"/>
  <c r="F71"/>
  <c r="Y69"/>
  <c r="G115"/>
  <c r="Z113"/>
  <c r="Z170"/>
  <c r="Z143"/>
  <c r="Y127"/>
  <c r="N74"/>
  <c r="N77" s="1"/>
  <c r="N79" s="1"/>
  <c r="Y91"/>
  <c r="U177"/>
  <c r="Y177"/>
  <c r="D22"/>
  <c r="D20" s="1"/>
  <c r="D47"/>
  <c r="Y190"/>
  <c r="F192"/>
  <c r="S32"/>
  <c r="Y115"/>
  <c r="U115"/>
  <c r="K55"/>
  <c r="Y53"/>
  <c r="G71"/>
  <c r="Q32"/>
  <c r="R40"/>
  <c r="R45" s="1"/>
  <c r="Z40"/>
  <c r="U122"/>
  <c r="Y122"/>
  <c r="L79"/>
  <c r="Z77"/>
  <c r="K100"/>
  <c r="Y98"/>
  <c r="K32"/>
  <c r="Y32" s="1"/>
  <c r="Y30"/>
  <c r="K22"/>
  <c r="K20" s="1"/>
  <c r="Y170"/>
  <c r="U170"/>
  <c r="H87"/>
  <c r="H91" s="1"/>
  <c r="H93" s="1"/>
  <c r="Z87"/>
  <c r="G91"/>
  <c r="N150"/>
  <c r="N153" s="1"/>
  <c r="N155" s="1"/>
  <c r="S182"/>
  <c r="S184" s="1"/>
  <c r="S175"/>
  <c r="S176" s="1"/>
  <c r="S177" s="1"/>
  <c r="I110"/>
  <c r="I113" s="1"/>
  <c r="I115" s="1"/>
  <c r="S167"/>
  <c r="S168" s="1"/>
  <c r="S170" s="1"/>
  <c r="I102"/>
  <c r="I106" s="1"/>
  <c r="I108" s="1"/>
  <c r="I135"/>
  <c r="I137" s="1"/>
  <c r="I117"/>
  <c r="I120" s="1"/>
  <c r="I122" s="1"/>
  <c r="V145"/>
  <c r="Z145"/>
  <c r="F47"/>
  <c r="G108"/>
  <c r="Z106"/>
  <c r="Y153"/>
  <c r="F155"/>
  <c r="V100"/>
  <c r="Z100"/>
  <c r="V65"/>
  <c r="Z65"/>
  <c r="G122"/>
  <c r="Z120"/>
  <c r="F22"/>
  <c r="Z129"/>
  <c r="V129"/>
  <c r="Z161"/>
  <c r="G162"/>
  <c r="Z153"/>
  <c r="G155"/>
  <c r="Z30"/>
  <c r="G32"/>
  <c r="G22"/>
  <c r="U65"/>
  <c r="Y65"/>
  <c r="Y77"/>
  <c r="F79"/>
  <c r="E20"/>
  <c r="E47"/>
  <c r="F137"/>
  <c r="Y135"/>
  <c r="P32"/>
  <c r="I32"/>
  <c r="V192"/>
  <c r="Z192"/>
  <c r="Y40"/>
  <c r="P45"/>
  <c r="P47" s="1"/>
  <c r="U145"/>
  <c r="Y145"/>
  <c r="U108"/>
  <c r="Y108"/>
  <c r="N57"/>
  <c r="N63" s="1"/>
  <c r="N65" s="1"/>
  <c r="M63"/>
  <c r="M65" s="1"/>
  <c r="Y161"/>
  <c r="F162"/>
  <c r="V85"/>
  <c r="Z85"/>
  <c r="I67"/>
  <c r="I69" s="1"/>
  <c r="I71" s="1"/>
  <c r="Y63"/>
  <c r="N91"/>
  <c r="N93" s="1"/>
  <c r="Q45"/>
  <c r="Z182"/>
  <c r="Z63"/>
  <c r="H22" l="1"/>
  <c r="H20" s="1"/>
  <c r="V55"/>
  <c r="Z53"/>
  <c r="N50"/>
  <c r="N53" s="1"/>
  <c r="N55" s="1"/>
  <c r="M168"/>
  <c r="M170" s="1"/>
  <c r="N166"/>
  <c r="N168" s="1"/>
  <c r="N170" s="1"/>
  <c r="Z168"/>
  <c r="Z69"/>
  <c r="L20"/>
  <c r="U162"/>
  <c r="Y162"/>
  <c r="U71"/>
  <c r="Y71"/>
  <c r="Z122"/>
  <c r="V122"/>
  <c r="V108"/>
  <c r="Z108"/>
  <c r="U79"/>
  <c r="Y79"/>
  <c r="Y55"/>
  <c r="U55"/>
  <c r="I87"/>
  <c r="I91" s="1"/>
  <c r="I93" s="1"/>
  <c r="S40"/>
  <c r="S45" s="1"/>
  <c r="Z91"/>
  <c r="G93"/>
  <c r="Z93" s="1"/>
  <c r="V22"/>
  <c r="Y22"/>
  <c r="F20"/>
  <c r="G20"/>
  <c r="Q47"/>
  <c r="Z45"/>
  <c r="Y100"/>
  <c r="U100"/>
  <c r="Z115"/>
  <c r="V115"/>
  <c r="Z162"/>
  <c r="V162"/>
  <c r="V155"/>
  <c r="Z155"/>
  <c r="U155"/>
  <c r="Y155"/>
  <c r="Q22"/>
  <c r="Q20" s="1"/>
  <c r="P22"/>
  <c r="P20" s="1"/>
  <c r="Y45"/>
  <c r="U47"/>
  <c r="Y47"/>
  <c r="R47"/>
  <c r="R22"/>
  <c r="R20" s="1"/>
  <c r="Y137"/>
  <c r="U137"/>
  <c r="V79"/>
  <c r="Z79"/>
  <c r="V71"/>
  <c r="Z71"/>
  <c r="U192"/>
  <c r="Y192"/>
  <c r="Z32"/>
  <c r="N22" l="1"/>
  <c r="N20" s="1"/>
  <c r="M22"/>
  <c r="M20" s="1"/>
  <c r="W22"/>
  <c r="V20"/>
  <c r="Y20"/>
  <c r="Z22"/>
  <c r="I22"/>
  <c r="I20" s="1"/>
  <c r="W20"/>
  <c r="Z20"/>
  <c r="S47"/>
  <c r="S22"/>
  <c r="S20" s="1"/>
  <c r="Z47"/>
  <c r="V47"/>
</calcChain>
</file>

<file path=xl/sharedStrings.xml><?xml version="1.0" encoding="utf-8"?>
<sst xmlns="http://schemas.openxmlformats.org/spreadsheetml/2006/main" count="324" uniqueCount="173">
  <si>
    <t>№ п/п</t>
  </si>
  <si>
    <t>Наименование объекта</t>
  </si>
  <si>
    <t>Катего-рия</t>
  </si>
  <si>
    <t>ВСЕГО</t>
  </si>
  <si>
    <t>Объём финансирования по годам</t>
  </si>
  <si>
    <t>км</t>
  </si>
  <si>
    <t>Стоимость, тыс. рублей</t>
  </si>
  <si>
    <t>2026 год</t>
  </si>
  <si>
    <t xml:space="preserve">  Стоимость, тыс. рублей</t>
  </si>
  <si>
    <t>в том числе</t>
  </si>
  <si>
    <t>федераль-ный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</si>
  <si>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</si>
  <si>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</si>
  <si>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</si>
  <si>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</si>
  <si>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</si>
  <si>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</si>
  <si>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</si>
  <si>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</si>
  <si>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</si>
  <si>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</si>
  <si>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</si>
  <si>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</si>
  <si>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</si>
  <si>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</si>
  <si>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</si>
  <si>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II</t>
  </si>
  <si>
    <t xml:space="preserve"> </t>
  </si>
  <si>
    <t>III</t>
  </si>
  <si>
    <t>Долбино - Угрим, км 0+000 - км 2+900</t>
  </si>
  <si>
    <t xml:space="preserve">  </t>
  </si>
  <si>
    <t xml:space="preserve">Автодороги регионального значения </t>
  </si>
  <si>
    <t>Автодороги местного значения</t>
  </si>
  <si>
    <t>Валуйский муниципальный округ</t>
  </si>
  <si>
    <t xml:space="preserve">    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</si>
  <si>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</si>
  <si>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</si>
  <si>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</si>
  <si>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 xml:space="preserve">Долгое - Россошь - Потоловка,                          км 0+000 - км 7+000 </t>
  </si>
  <si>
    <t>Обход п. Пятницкое, км 0+000 - км 5+000</t>
  </si>
  <si>
    <t>Губкинский городской округ</t>
  </si>
  <si>
    <t>Короча - Губкин - граница Курской области,   км 23+000 - км 29+000</t>
  </si>
  <si>
    <t>ИТОГО по Губкинскому городскому округу</t>
  </si>
  <si>
    <t>Новооскольский муниципальный округ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</si>
  <si>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</si>
  <si>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</si>
  <si>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 xml:space="preserve">   </t>
  </si>
  <si>
    <t>Старооскольский городской округ</t>
  </si>
  <si>
    <t>Магистраль 1-1, км 15+515 - км 21+515</t>
  </si>
  <si>
    <t>ИТОГО по Старооскольскому городскому округу</t>
  </si>
  <si>
    <t>Шебекинский муниципальный округ</t>
  </si>
  <si>
    <t>ИТОГО по Шебекинскому муниципальному округу</t>
  </si>
  <si>
    <t>Яковлевский муниципальный округ</t>
  </si>
  <si>
    <t>ИТОГО по Яковлевскому муниципальному округу</t>
  </si>
  <si>
    <t>город Белгород</t>
  </si>
  <si>
    <t>ИТОГО по городу Белгороду</t>
  </si>
  <si>
    <t>Нагорье - Ржевка - граница Воронежской области, км 0+000 - км 2+900</t>
  </si>
  <si>
    <t>Сапрыкино - Орлик, км 4+700 - км 7+500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</si>
  <si>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</si>
  <si>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</si>
  <si>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«Юго - Западный -2» - Комсомольский,               км 6+500 - км 7+900</t>
  </si>
  <si>
    <t>област-ной бюджет</t>
  </si>
  <si>
    <t>муници-пальный бюджет</t>
  </si>
  <si>
    <t>«Белгород - Новый Оскол - Советское» - Замостье, км 0+000 - км 2+100</t>
  </si>
  <si>
    <t>Борисовка - Пролетарский,                                                      км 6+000 - км 9+500</t>
  </si>
  <si>
    <t>«Крым» - Новоселовка-Первая, км 0+000 -         км 1+000</t>
  </si>
  <si>
    <t>«Короча - Новая Слободка - Хмелевое - Подольхи - Призначное» - Холодное,                  км 0+000 - км 1+500</t>
  </si>
  <si>
    <t xml:space="preserve">«Белгород - Новый Оскол - Советское» - Веселое - Николаевский с подъездом к селу Николаевский, км 11+400 - км 17+500 </t>
  </si>
  <si>
    <t>Красногвардейский муниципальный округ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</si>
  <si>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</si>
  <si>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</si>
  <si>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</si>
  <si>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</si>
  <si>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 муниципальный округ</t>
  </si>
  <si>
    <t>ИТОГО по Вейделевскому  муниципальному округу</t>
  </si>
  <si>
    <t>Волоконовский муниципальный округ</t>
  </si>
  <si>
    <t>ИТОГО по Волоконовскому муниципальному округу</t>
  </si>
  <si>
    <t>Ивнянский муниципальный округ</t>
  </si>
  <si>
    <t xml:space="preserve">ИТОГО по Ивнянскому муниципальному округу </t>
  </si>
  <si>
    <t>Корочанский муниципальный округ</t>
  </si>
  <si>
    <t>ИТОГО по Корочанскому муниципальному округу</t>
  </si>
  <si>
    <t>Красненский муниципальный округ</t>
  </si>
  <si>
    <t>ИТОГО по Красненскому муниципальному округу</t>
  </si>
  <si>
    <t>ИТОГО по Красногвардейскому муниципальному округу</t>
  </si>
  <si>
    <t>ИТОГО по Прохоровскому муниципальному округу</t>
  </si>
  <si>
    <t>Прохоровский  муниципальный округ</t>
  </si>
  <si>
    <t>Ракитянский муниципальный округ</t>
  </si>
  <si>
    <t>ИТОГО по Ракитянскому муниципальному округу</t>
  </si>
  <si>
    <t>Ровеньский муниципальный округ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</si>
  <si>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</si>
  <si>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</si>
  <si>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</si>
  <si>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 xml:space="preserve">«Бутово - Курская Дуга» - Крестов - Триречное, км 0+000 - км 5+000 </t>
  </si>
  <si>
    <t xml:space="preserve">ВСЕГО  по автодорогам </t>
  </si>
  <si>
    <t>Матрено-Гезово - Неминущий - Кириченков, км 0+000 - км 6+140</t>
  </si>
  <si>
    <t xml:space="preserve">«Новый Оскол - Валуйки - Ровеньки» - Закутское - Белый Плес, км 0+000 -                                                км 2+150; км 3+200 - км  6+310   </t>
  </si>
  <si>
    <t>Обход п.Пятницкое, км 5+000 - км 10+000</t>
  </si>
  <si>
    <t>Короча - Губкин - граница Курской области, км 19+500 - км 23+000</t>
  </si>
  <si>
    <t>Валуйки - Алексеевка - Красное,                                                 км 92+900 - км 99+050</t>
  </si>
  <si>
    <t>Краснояружский муниципальный округ</t>
  </si>
  <si>
    <t>Томаровка - Красная Яруга - Илек-Пеньковка - Колотиловка - Краснокрестьянский, км 0+000 - км 2+200</t>
  </si>
  <si>
    <t>ИТОГО по Краснояружскомуму муниципальному округу</t>
  </si>
  <si>
    <t xml:space="preserve">Обход города Старый Оскол, км 0+000 -                                                  км 5+500  </t>
  </si>
  <si>
    <t>Магистраль 1-1, км 21+515 - км 22+910,                                                  км 23+038 - км 25+356</t>
  </si>
  <si>
    <t>«Короча - Чернянка - Красное» - Долгая Яруга, км 0+000 - км 2+900</t>
  </si>
  <si>
    <t>2027 год</t>
  </si>
  <si>
    <t>«Белгород - Грайворон - Козинка»                                                   (в границах пос. Томаровка), км 26+700 - 29+550</t>
  </si>
  <si>
    <t>Грайворонский муниципальный округ</t>
  </si>
  <si>
    <t>ИТОГО по Грайворонскому муниципальному округу</t>
  </si>
  <si>
    <t>Борисовка - Пролетарский,                                                      км 12+000 - км 16+200</t>
  </si>
  <si>
    <r>
      <t>«Белгород - Новый Оскол - Советское» - Айдар, км 0+000 - км 4+600</t>
    </r>
    <r>
      <rPr>
        <b/>
        <sz val="10"/>
        <rFont val="Times New Roman"/>
        <family val="1"/>
        <charset val="204"/>
      </rPr>
      <t xml:space="preserve"> </t>
    </r>
  </si>
  <si>
    <t>«Самойловка - Кощеево - Хмелевое» -                                                    Долгий Бродок, км 0+000 - км 1+900</t>
  </si>
  <si>
    <t>Камызино - Новоуколово - Владимировка - Обуховка, км 24+700 - км 28+600</t>
  </si>
  <si>
    <t>2028 год</t>
  </si>
  <si>
    <t>Ивня - Песчаное - Череново,                                     км 3+070 - км 7+370</t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</si>
  <si>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                                                            и дорожной сети Белгородской области»</t>
  </si>
  <si>
    <t>Перечень объектов по ремонту  автомобильных дорог и искусственных сооружений на них на 2026 - 2028 годы в рамках регионального проекта «Региональная и местная дорожная сеть»</t>
  </si>
  <si>
    <t>Уразово - Борки - Новопетровка - Вериговка, км 14+700 - км 36+700</t>
  </si>
  <si>
    <t>Валуйки - Казинка - Вериговка,                                      км 26+800 - км 32+550</t>
  </si>
  <si>
    <t>Грайворон - Илёк-Пеньковка - Почаево - Смородино, км 3+500 - км 8+470</t>
  </si>
  <si>
    <t>Грайворон - Илек-Пеньковка - Теребрено- Староселье, км 0+000 - км 5+100</t>
  </si>
  <si>
    <t>Белгород - Шебекино - Волоконовка,                 км 37+100 - км 41+300</t>
  </si>
  <si>
    <t>Белгород - Грайворон - Козинка,                              км 52+848 – км 60+400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</si>
  <si>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</si>
  <si>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>Протя-жен-ность</t>
  </si>
  <si>
    <t>Ивня - Песчаное - Череново,                              км 7+370 - км 12+600</t>
  </si>
  <si>
    <t>Белгород - Грайворон  - Козинка,                                          км 66+530 – км 69+350</t>
  </si>
  <si>
    <t xml:space="preserve">«Крым» - Ясные Зори - Архангельское,                     км 6+500 - км 13+800                          </t>
  </si>
  <si>
    <t>«Уразово - Герасимовка - Конотоповка»,                       км 6+620- 19+200</t>
  </si>
  <si>
    <t>Короча - Чернянка - Красное, км 3+700 -                                   км 8+700</t>
  </si>
  <si>
    <t>Прохоровка - Плота - Ржавец - Казачье,                                         км 25+500 - км 33+100</t>
  </si>
  <si>
    <t>Венгеровка - Меловое - Донцов,                                                      км 0+000 - км 5+310</t>
  </si>
  <si>
    <t>Таврово - Соломино- Разумное,                                                    км 4+600 - км 6+760  (в том числе кольцевая развязка); км 10+408 - км 11+300</t>
  </si>
  <si>
    <t>Красная Яруга - Степное - Семейный -                                                     Илек-Кошары, км 3+700 - 6+800</t>
  </si>
  <si>
    <t>«Камызино - Новоуколово - Владимировка - Обуховка» - Ураково, км 0+000 - км 1+200</t>
  </si>
  <si>
    <t>Белгород  - Шебекино - Волоконовка,                 км 13+596 - км 15+900</t>
  </si>
  <si>
    <t xml:space="preserve">Белгород - Грайворон - Козинка,                         км 9+650  - км 17+800 </t>
  </si>
  <si>
    <t>Белгород  - Шебекино - Волоконовка,                   км 15+900 - км 18+000</t>
  </si>
  <si>
    <t>Белгород - Шебекино - Волоконовка,                                         км 10+812 - км 13+596</t>
  </si>
  <si>
    <t>Северо - Восточный обход города Белгорода, км 4+000- км 7+620</t>
  </si>
  <si>
    <t>«Крым» - Октябрьский - Бессоновка,                                                        км 12+000 - км 16+150</t>
  </si>
  <si>
    <t>«Новый Оскол - Валуйки - Ровеньки» -                       х. Олейницкий, км 0+000 - км 3+600</t>
  </si>
  <si>
    <t>Бабкино - Большебыково - Высокий - Большое, км 0+000 - км 12+900</t>
  </si>
  <si>
    <t>«Белгород - Новый Оскол - Советское» - Васильдол, км 5+345 - км 9+400</t>
  </si>
  <si>
    <t>Красная  Яруга - Отрадовка - Новая Березовка, км 6+000 - км 9+700</t>
  </si>
  <si>
    <t>Нагорье - Ржевка - граница Воронежской области, км 7+000 - км 12+200</t>
  </si>
  <si>
    <t>Старый Оскол - Чернянка - Новый Оскол,                                                            км 56+100 - км 64+400</t>
  </si>
  <si>
    <t>Белгород  - Шебекино - Волоконовка - Большетроицкое - Артельное - Стрелица 1-я,  км 6+567 - км 9+310;                                                                          км 10+110 - км 12+700</t>
  </si>
  <si>
    <t>«Белгород - Новый Оскол - Советское» - Шапорево, км 0+000 - км 10+700</t>
  </si>
  <si>
    <t>Ульяновка - Голофеевка, км 0+000 -                   км 6+000</t>
  </si>
  <si>
    <t xml:space="preserve">Красная  Яруга - Отрадовка - Новая Березовка, км 0+000 - км 6+000 </t>
  </si>
  <si>
    <t>«Прохоровка - Плота - Ржавец - Казачье» - Новоселовка, км 0+000 - км 6+200</t>
  </si>
  <si>
    <t>Юго-западный обход города Старый Оскол, км 0+000 - км 11+522</t>
  </si>
  <si>
    <t>Быковка - Дмитриевка - Бутово - Курская Дуга, км 0+000 - км 12+200</t>
  </si>
  <si>
    <t>IV,V</t>
  </si>
  <si>
    <t>Северо - Восточный обход города Белгорода, км 0+000 - км 2+504</t>
  </si>
  <si>
    <t>мкр. Новодубовской - мкр. Майский - 8,                       км 0+000 - км 5+100</t>
  </si>
  <si>
    <t>Алексеевка - Мухоудеровка - Дальнее Чесночное с подъездом к с. Мухоудеровка,                                                             км 16+000 - км 19+000</t>
  </si>
  <si>
    <t>«Крюково - Октябрьская Готня» - Басов,                                                                           км 0+000 - км 1+800</t>
  </si>
  <si>
    <t>«Валуйки - Казинка - Вериговка» - Рябики,                                                                                       км 0+000-км 8+900</t>
  </si>
  <si>
    <r>
      <t>«Валуйки - Алексеевка - Красное» - Филиппово - Верхний Моисей, км 0+000 - км 0+475;                                                                                 км 0+485 - км 1+143; км 1+258 - км 4+025</t>
    </r>
    <r>
      <rPr>
        <b/>
        <sz val="12"/>
        <rFont val="Times New Roman"/>
        <family val="1"/>
        <charset val="204"/>
      </rPr>
      <t xml:space="preserve"> </t>
    </r>
  </si>
  <si>
    <t>Октябрьский - Уколово - Никаноровка,                                                                     км 7+520 - км 12+200</t>
  </si>
  <si>
    <t>«Короча - Губкин - граница Курской области» - Телешовка, км 0+000 - км 3+600</t>
  </si>
  <si>
    <t xml:space="preserve">Верхняя Покровка - х. Петров, км 0+000 -                                                                    км 4+600 </t>
  </si>
  <si>
    <t>Призначное - Гаюры - Камышевка,                                                                                        км 0+000 - км 5+600</t>
  </si>
  <si>
    <t>Северный подъезд к п. Пролетарский,                                                                      км 0+000 - км 2+900</t>
  </si>
  <si>
    <t>«Крым» - Ивня - Ракитное -Александровка,                                                                       км 0+000 - км 4+000</t>
  </si>
  <si>
    <t>«Еремовка - Ровеньки - Нижняя Серебрянка» - Верхняя Серебрянка,                                                                                                                                       км 0+000 - км 3+500</t>
  </si>
  <si>
    <t>Еремовка - Ровеньки - Нижняя Серебрянка, км 18+487 - км 20+810;                                                                                                                                                                                          км 20+900 - км 21+520;  км 21+540 -                                     км 24+530</t>
  </si>
  <si>
    <t>Короча - Чернянка - Красное, км 52+400 -                                                                                          км 66+400</t>
  </si>
  <si>
    <t>Томаровка - Красная Яруга - Илек-Пеньковка - Колотиловка, км 0+000 -                                                                                                                                      км 5+000</t>
  </si>
  <si>
    <t>Подольхи - Гнездиловка - Черновка,                 км 0+000 - км 8+300</t>
  </si>
  <si>
    <t>«Обход города Новый Оскол» - Белый Колодезь, км 0+080 - км 4+700</t>
  </si>
</sst>
</file>

<file path=xl/styles.xml><?xml version="1.0" encoding="utf-8"?>
<styleSheet xmlns="http://schemas.openxmlformats.org/spreadsheetml/2006/main">
  <numFmts count="9">
    <numFmt numFmtId="44" formatCode="_-* #,##0.00\ &quot;р.&quot;_-;\-* #,##0.00\ &quot;р.&quot;_-;_-* &quot;-&quot;??\ &quot;р.&quot;_-;_-@_-"/>
    <numFmt numFmtId="164" formatCode="#,##0.0"/>
    <numFmt numFmtId="165" formatCode="#,##0.000"/>
    <numFmt numFmtId="166" formatCode="#,##0.000_р_."/>
    <numFmt numFmtId="167" formatCode="0.000"/>
    <numFmt numFmtId="168" formatCode="0.0"/>
    <numFmt numFmtId="169" formatCode="#,##0.0_р_."/>
    <numFmt numFmtId="170" formatCode="#,##0.0;[Red]#,##0.0"/>
    <numFmt numFmtId="171" formatCode="#,##0.0000"/>
  </numFmts>
  <fonts count="19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4" fillId="0" borderId="0"/>
    <xf numFmtId="0" fontId="3" fillId="0" borderId="0"/>
    <xf numFmtId="0" fontId="4" fillId="0" borderId="0"/>
    <xf numFmtId="0" fontId="1" fillId="0" borderId="0"/>
    <xf numFmtId="0" fontId="3" fillId="0" borderId="0"/>
    <xf numFmtId="44" fontId="17" fillId="0" borderId="0" applyFont="0" applyFill="0" applyBorder="0" applyAlignment="0" applyProtection="0"/>
  </cellStyleXfs>
  <cellXfs count="142">
    <xf numFmtId="0" fontId="0" fillId="0" borderId="0" xfId="0"/>
    <xf numFmtId="0" fontId="5" fillId="0" borderId="0" xfId="12" applyFont="1" applyAlignment="1" applyProtection="1">
      <alignment horizontal="center"/>
    </xf>
    <xf numFmtId="0" fontId="5" fillId="0" borderId="0" xfId="12" applyFont="1" applyAlignment="1" applyProtection="1"/>
    <xf numFmtId="0" fontId="6" fillId="0" borderId="0" xfId="12" applyFont="1" applyAlignment="1" applyProtection="1">
      <alignment horizontal="center"/>
    </xf>
    <xf numFmtId="0" fontId="6" fillId="0" borderId="0" xfId="12" applyFont="1" applyAlignment="1" applyProtection="1"/>
    <xf numFmtId="0" fontId="6" fillId="0" borderId="0" xfId="12" applyFont="1" applyBorder="1" applyAlignment="1" applyProtection="1"/>
    <xf numFmtId="0" fontId="13" fillId="0" borderId="1" xfId="0" applyFont="1" applyBorder="1" applyAlignment="1" applyProtection="1">
      <alignment horizontal="left" vertical="top" wrapText="1"/>
    </xf>
    <xf numFmtId="0" fontId="14" fillId="0" borderId="1" xfId="12" applyFont="1" applyBorder="1" applyAlignment="1" applyProtection="1">
      <alignment horizontal="center" vertical="center" wrapText="1"/>
    </xf>
    <xf numFmtId="0" fontId="8" fillId="0" borderId="1" xfId="12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vertical="top" wrapText="1"/>
    </xf>
    <xf numFmtId="0" fontId="14" fillId="0" borderId="1" xfId="12" applyFont="1" applyBorder="1" applyAlignment="1" applyProtection="1"/>
    <xf numFmtId="0" fontId="14" fillId="0" borderId="0" xfId="12" applyFont="1" applyAlignment="1" applyProtection="1">
      <alignment vertical="center" wrapText="1"/>
    </xf>
    <xf numFmtId="164" fontId="14" fillId="0" borderId="0" xfId="12" applyNumberFormat="1" applyFont="1" applyAlignment="1" applyProtection="1">
      <alignment vertical="center" wrapText="1"/>
    </xf>
    <xf numFmtId="164" fontId="8" fillId="0" borderId="0" xfId="12" applyNumberFormat="1" applyFont="1" applyBorder="1" applyAlignment="1" applyProtection="1">
      <alignment horizontal="center" vertical="center" wrapText="1"/>
    </xf>
    <xf numFmtId="164" fontId="14" fillId="0" borderId="1" xfId="12" applyNumberFormat="1" applyFont="1" applyBorder="1" applyAlignment="1" applyProtection="1"/>
    <xf numFmtId="0" fontId="12" fillId="0" borderId="1" xfId="0" applyFont="1" applyBorder="1" applyAlignment="1" applyProtection="1">
      <alignment vertical="center" wrapText="1"/>
    </xf>
    <xf numFmtId="0" fontId="6" fillId="0" borderId="0" xfId="12" applyFont="1" applyAlignment="1" applyProtection="1">
      <alignment vertical="center" wrapText="1"/>
    </xf>
    <xf numFmtId="0" fontId="5" fillId="0" borderId="0" xfId="12" applyFont="1" applyAlignment="1" applyProtection="1">
      <alignment vertical="center" wrapText="1"/>
    </xf>
    <xf numFmtId="0" fontId="5" fillId="0" borderId="0" xfId="12" applyFont="1" applyAlignment="1" applyProtection="1">
      <alignment horizontal="center" vertical="center" wrapText="1"/>
    </xf>
    <xf numFmtId="0" fontId="14" fillId="0" borderId="1" xfId="12" applyFont="1" applyFill="1" applyBorder="1" applyAlignment="1" applyProtection="1">
      <alignment horizontal="left" vertical="center" wrapText="1"/>
    </xf>
    <xf numFmtId="164" fontId="8" fillId="0" borderId="1" xfId="12" applyNumberFormat="1" applyFont="1" applyBorder="1" applyAlignment="1" applyProtection="1">
      <alignment horizontal="center" vertical="center" wrapText="1"/>
    </xf>
    <xf numFmtId="0" fontId="14" fillId="0" borderId="1" xfId="12" applyFont="1" applyFill="1" applyBorder="1" applyAlignment="1" applyProtection="1">
      <alignment horizontal="center" vertical="center" wrapText="1"/>
    </xf>
    <xf numFmtId="165" fontId="14" fillId="0" borderId="1" xfId="12" applyNumberFormat="1" applyFont="1" applyFill="1" applyBorder="1" applyAlignment="1" applyProtection="1">
      <alignment horizontal="center" vertical="center" wrapText="1"/>
    </xf>
    <xf numFmtId="164" fontId="14" fillId="0" borderId="1" xfId="12" applyNumberFormat="1" applyFont="1" applyFill="1" applyBorder="1" applyAlignment="1" applyProtection="1">
      <alignment horizontal="center" vertical="center" wrapText="1"/>
    </xf>
    <xf numFmtId="166" fontId="14" fillId="0" borderId="1" xfId="11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168" fontId="14" fillId="0" borderId="1" xfId="12" applyNumberFormat="1" applyFont="1" applyFill="1" applyBorder="1" applyAlignment="1" applyProtection="1">
      <alignment horizontal="center" vertical="center" wrapText="1"/>
    </xf>
    <xf numFmtId="168" fontId="8" fillId="0" borderId="1" xfId="12" applyNumberFormat="1" applyFont="1" applyFill="1" applyBorder="1" applyAlignment="1" applyProtection="1">
      <alignment horizontal="center" vertical="center" wrapText="1"/>
    </xf>
    <xf numFmtId="169" fontId="14" fillId="0" borderId="1" xfId="11" applyNumberFormat="1" applyFont="1" applyFill="1" applyBorder="1" applyAlignment="1" applyProtection="1">
      <alignment horizontal="center" vertical="center" wrapText="1"/>
    </xf>
    <xf numFmtId="166" fontId="14" fillId="0" borderId="1" xfId="12" applyNumberFormat="1" applyFont="1" applyFill="1" applyBorder="1" applyAlignment="1" applyProtection="1">
      <alignment horizontal="center" vertical="center" wrapText="1"/>
    </xf>
    <xf numFmtId="4" fontId="14" fillId="0" borderId="1" xfId="12" applyNumberFormat="1" applyFont="1" applyFill="1" applyBorder="1" applyAlignment="1" applyProtection="1">
      <alignment horizontal="center" vertical="center" wrapText="1"/>
    </xf>
    <xf numFmtId="167" fontId="14" fillId="0" borderId="1" xfId="12" applyNumberFormat="1" applyFont="1" applyFill="1" applyBorder="1" applyAlignment="1" applyProtection="1">
      <alignment horizontal="center" vertical="center" wrapText="1"/>
    </xf>
    <xf numFmtId="169" fontId="14" fillId="0" borderId="1" xfId="12" applyNumberFormat="1" applyFont="1" applyFill="1" applyBorder="1" applyAlignment="1" applyProtection="1">
      <alignment horizontal="center" vertical="center" wrapText="1"/>
    </xf>
    <xf numFmtId="168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12" applyFont="1" applyFill="1" applyBorder="1" applyAlignment="1" applyProtection="1">
      <alignment vertical="center" wrapText="1"/>
    </xf>
    <xf numFmtId="3" fontId="14" fillId="0" borderId="1" xfId="12" applyNumberFormat="1" applyFont="1" applyFill="1" applyBorder="1" applyAlignment="1" applyProtection="1">
      <alignment horizontal="center" vertical="center" wrapText="1"/>
    </xf>
    <xf numFmtId="167" fontId="8" fillId="0" borderId="1" xfId="12" applyNumberFormat="1" applyFont="1" applyFill="1" applyBorder="1" applyAlignment="1" applyProtection="1">
      <alignment horizontal="center" vertical="center" wrapText="1"/>
    </xf>
    <xf numFmtId="0" fontId="8" fillId="0" borderId="3" xfId="12" applyFont="1" applyFill="1" applyBorder="1" applyAlignment="1" applyProtection="1">
      <alignment horizontal="center" wrapText="1"/>
    </xf>
    <xf numFmtId="164" fontId="13" fillId="0" borderId="1" xfId="0" applyNumberFormat="1" applyFont="1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/>
    <xf numFmtId="0" fontId="6" fillId="0" borderId="1" xfId="12" applyFont="1" applyFill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left" vertical="center" wrapText="1"/>
    </xf>
    <xf numFmtId="164" fontId="8" fillId="0" borderId="1" xfId="12" applyNumberFormat="1" applyFont="1" applyFill="1" applyBorder="1" applyAlignment="1" applyProtection="1">
      <alignment horizontal="center" vertical="center" wrapText="1"/>
    </xf>
    <xf numFmtId="0" fontId="10" fillId="0" borderId="1" xfId="12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 wrapText="1"/>
    </xf>
    <xf numFmtId="0" fontId="4" fillId="0" borderId="1" xfId="12" applyFont="1" applyFill="1" applyBorder="1" applyAlignment="1" applyProtection="1"/>
    <xf numFmtId="0" fontId="14" fillId="0" borderId="0" xfId="12" applyFont="1" applyFill="1" applyAlignment="1" applyProtection="1">
      <alignment vertical="center" wrapText="1"/>
    </xf>
    <xf numFmtId="0" fontId="6" fillId="0" borderId="0" xfId="12" applyFont="1" applyFill="1" applyAlignment="1" applyProtection="1"/>
    <xf numFmtId="0" fontId="7" fillId="0" borderId="0" xfId="12" applyFont="1" applyFill="1" applyAlignment="1" applyProtection="1"/>
    <xf numFmtId="0" fontId="7" fillId="0" borderId="0" xfId="12" applyFont="1" applyFill="1" applyAlignment="1" applyProtection="1">
      <alignment horizontal="center"/>
    </xf>
    <xf numFmtId="0" fontId="6" fillId="0" borderId="0" xfId="12" applyFont="1" applyFill="1" applyBorder="1" applyAlignment="1" applyProtection="1"/>
    <xf numFmtId="0" fontId="7" fillId="0" borderId="0" xfId="12" applyFont="1" applyFill="1" applyBorder="1" applyAlignment="1" applyProtection="1">
      <alignment horizontal="center"/>
    </xf>
    <xf numFmtId="0" fontId="4" fillId="0" borderId="0" xfId="12" applyFont="1" applyFill="1" applyBorder="1" applyAlignment="1" applyProtection="1"/>
    <xf numFmtId="0" fontId="9" fillId="0" borderId="0" xfId="12" applyFont="1" applyFill="1" applyBorder="1" applyAlignment="1" applyProtection="1">
      <alignment horizontal="center" vertical="center"/>
    </xf>
    <xf numFmtId="164" fontId="8" fillId="0" borderId="0" xfId="12" applyNumberFormat="1" applyFont="1" applyFill="1" applyBorder="1" applyAlignment="1" applyProtection="1">
      <alignment horizontal="center" vertical="center" wrapText="1"/>
    </xf>
    <xf numFmtId="0" fontId="4" fillId="0" borderId="0" xfId="12" applyFont="1" applyFill="1" applyAlignment="1" applyProtection="1"/>
    <xf numFmtId="0" fontId="10" fillId="0" borderId="1" xfId="12" applyFont="1" applyFill="1" applyBorder="1" applyAlignment="1" applyProtection="1">
      <alignment horizontal="center" vertical="center"/>
    </xf>
    <xf numFmtId="0" fontId="6" fillId="0" borderId="1" xfId="12" applyFont="1" applyFill="1" applyBorder="1" applyAlignment="1" applyProtection="1"/>
    <xf numFmtId="164" fontId="14" fillId="0" borderId="1" xfId="12" applyNumberFormat="1" applyFont="1" applyFill="1" applyBorder="1" applyAlignment="1" applyProtection="1">
      <alignment vertical="center" wrapText="1"/>
    </xf>
    <xf numFmtId="169" fontId="8" fillId="0" borderId="5" xfId="12" applyNumberFormat="1" applyFont="1" applyFill="1" applyBorder="1" applyAlignment="1" applyProtection="1">
      <alignment horizontal="center" vertical="center" wrapText="1"/>
    </xf>
    <xf numFmtId="170" fontId="8" fillId="0" borderId="5" xfId="0" applyNumberFormat="1" applyFont="1" applyFill="1" applyBorder="1" applyAlignment="1" applyProtection="1">
      <alignment horizontal="center" vertical="center"/>
    </xf>
    <xf numFmtId="0" fontId="5" fillId="0" borderId="5" xfId="12" applyFont="1" applyFill="1" applyBorder="1" applyAlignment="1" applyProtection="1">
      <alignment vertical="center" wrapText="1"/>
    </xf>
    <xf numFmtId="0" fontId="5" fillId="0" borderId="6" xfId="12" applyFont="1" applyFill="1" applyBorder="1" applyAlignment="1" applyProtection="1">
      <alignment vertical="center" wrapText="1"/>
    </xf>
    <xf numFmtId="0" fontId="5" fillId="0" borderId="2" xfId="12" applyFont="1" applyFill="1" applyBorder="1" applyAlignment="1" applyProtection="1">
      <alignment vertical="center" wrapText="1"/>
    </xf>
    <xf numFmtId="0" fontId="5" fillId="0" borderId="0" xfId="12" applyFont="1" applyFill="1" applyBorder="1" applyAlignment="1" applyProtection="1">
      <alignment vertical="center" wrapText="1"/>
    </xf>
    <xf numFmtId="0" fontId="5" fillId="0" borderId="0" xfId="12" applyFont="1" applyFill="1" applyAlignment="1" applyProtection="1">
      <alignment vertical="center" wrapText="1"/>
    </xf>
    <xf numFmtId="0" fontId="5" fillId="0" borderId="0" xfId="12" applyFont="1" applyFill="1" applyAlignment="1" applyProtection="1"/>
    <xf numFmtId="0" fontId="8" fillId="0" borderId="1" xfId="10" applyFont="1" applyFill="1" applyBorder="1" applyAlignment="1" applyProtection="1">
      <alignment horizontal="center" vertical="center" wrapText="1"/>
    </xf>
    <xf numFmtId="164" fontId="8" fillId="0" borderId="0" xfId="12" applyNumberFormat="1" applyFont="1" applyAlignment="1" applyProtection="1">
      <alignment vertical="center" wrapText="1"/>
    </xf>
    <xf numFmtId="171" fontId="8" fillId="0" borderId="0" xfId="12" applyNumberFormat="1" applyFont="1" applyAlignment="1" applyProtection="1">
      <alignment vertical="center" wrapText="1"/>
    </xf>
    <xf numFmtId="0" fontId="8" fillId="0" borderId="0" xfId="12" applyFont="1" applyAlignment="1" applyProtection="1">
      <alignment vertical="center" wrapText="1"/>
    </xf>
    <xf numFmtId="0" fontId="14" fillId="0" borderId="1" xfId="14" applyFont="1" applyBorder="1" applyAlignment="1" applyProtection="1">
      <alignment horizontal="center" vertical="center" wrapText="1"/>
    </xf>
    <xf numFmtId="166" fontId="14" fillId="0" borderId="1" xfId="14" applyNumberFormat="1" applyFont="1" applyBorder="1" applyAlignment="1" applyProtection="1">
      <alignment horizontal="center" vertical="center" wrapText="1"/>
    </xf>
    <xf numFmtId="164" fontId="14" fillId="0" borderId="1" xfId="14" applyNumberFormat="1" applyFont="1" applyBorder="1" applyAlignment="1" applyProtection="1">
      <alignment horizontal="center" vertical="center" wrapText="1"/>
    </xf>
    <xf numFmtId="168" fontId="14" fillId="0" borderId="1" xfId="0" applyNumberFormat="1" applyFont="1" applyBorder="1" applyAlignment="1" applyProtection="1">
      <alignment horizontal="left" vertical="center" wrapText="1"/>
    </xf>
    <xf numFmtId="0" fontId="7" fillId="0" borderId="0" xfId="12" applyFont="1" applyFill="1" applyBorder="1" applyAlignment="1" applyProtection="1">
      <alignment horizontal="center" vertical="center"/>
    </xf>
    <xf numFmtId="0" fontId="10" fillId="0" borderId="0" xfId="12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top"/>
    </xf>
    <xf numFmtId="0" fontId="14" fillId="0" borderId="0" xfId="12" applyFont="1" applyFill="1" applyBorder="1" applyAlignment="1" applyProtection="1">
      <alignment vertical="center" wrapText="1"/>
    </xf>
    <xf numFmtId="164" fontId="14" fillId="0" borderId="0" xfId="12" applyNumberFormat="1" applyFont="1" applyFill="1" applyBorder="1" applyAlignment="1" applyProtection="1">
      <alignment horizontal="center" vertical="center" wrapText="1"/>
    </xf>
    <xf numFmtId="0" fontId="14" fillId="0" borderId="0" xfId="12" applyFont="1" applyFill="1" applyBorder="1" applyAlignment="1" applyProtection="1">
      <alignment horizontal="center" vertical="center" wrapText="1"/>
    </xf>
    <xf numFmtId="168" fontId="8" fillId="0" borderId="0" xfId="12" applyNumberFormat="1" applyFont="1" applyFill="1" applyBorder="1" applyAlignment="1" applyProtection="1">
      <alignment horizontal="center" vertical="center" wrapText="1"/>
    </xf>
    <xf numFmtId="169" fontId="14" fillId="0" borderId="0" xfId="11" applyNumberFormat="1" applyFont="1" applyFill="1" applyBorder="1" applyAlignment="1" applyProtection="1">
      <alignment horizontal="center" vertical="center" wrapText="1"/>
    </xf>
    <xf numFmtId="169" fontId="14" fillId="0" borderId="0" xfId="12" applyNumberFormat="1" applyFont="1" applyFill="1" applyBorder="1" applyAlignment="1" applyProtection="1">
      <alignment horizontal="center" vertical="center" wrapText="1"/>
    </xf>
    <xf numFmtId="0" fontId="6" fillId="0" borderId="0" xfId="12" applyFont="1" applyFill="1" applyBorder="1" applyAlignment="1" applyProtection="1">
      <alignment vertical="center" wrapText="1"/>
    </xf>
    <xf numFmtId="0" fontId="10" fillId="0" borderId="9" xfId="12" applyFont="1" applyFill="1" applyBorder="1" applyAlignment="1" applyProtection="1">
      <alignment horizontal="center" vertical="center"/>
    </xf>
    <xf numFmtId="0" fontId="6" fillId="0" borderId="9" xfId="12" applyFont="1" applyFill="1" applyBorder="1" applyAlignment="1" applyProtection="1"/>
    <xf numFmtId="164" fontId="8" fillId="0" borderId="9" xfId="12" applyNumberFormat="1" applyFont="1" applyFill="1" applyBorder="1" applyAlignment="1" applyProtection="1">
      <alignment horizontal="center" vertical="center" wrapText="1"/>
    </xf>
    <xf numFmtId="0" fontId="14" fillId="0" borderId="9" xfId="12" applyFont="1" applyFill="1" applyBorder="1" applyAlignment="1" applyProtection="1">
      <alignment vertical="center" wrapText="1"/>
    </xf>
    <xf numFmtId="164" fontId="14" fillId="0" borderId="9" xfId="12" applyNumberFormat="1" applyFont="1" applyFill="1" applyBorder="1" applyAlignment="1" applyProtection="1">
      <alignment horizontal="center" vertical="center" wrapText="1"/>
    </xf>
    <xf numFmtId="0" fontId="14" fillId="0" borderId="9" xfId="12" applyFont="1" applyFill="1" applyBorder="1" applyAlignment="1" applyProtection="1">
      <alignment horizontal="center" vertical="center" wrapText="1"/>
    </xf>
    <xf numFmtId="168" fontId="8" fillId="0" borderId="9" xfId="12" applyNumberFormat="1" applyFont="1" applyFill="1" applyBorder="1" applyAlignment="1" applyProtection="1">
      <alignment horizontal="center" vertical="center" wrapText="1"/>
    </xf>
    <xf numFmtId="169" fontId="14" fillId="0" borderId="9" xfId="11" applyNumberFormat="1" applyFont="1" applyFill="1" applyBorder="1" applyAlignment="1" applyProtection="1">
      <alignment horizontal="center" vertical="center" wrapText="1"/>
    </xf>
    <xf numFmtId="169" fontId="14" fillId="0" borderId="9" xfId="12" applyNumberFormat="1" applyFont="1" applyFill="1" applyBorder="1" applyAlignment="1" applyProtection="1">
      <alignment horizontal="center" vertical="center" wrapText="1"/>
    </xf>
    <xf numFmtId="0" fontId="6" fillId="0" borderId="9" xfId="12" applyFont="1" applyFill="1" applyBorder="1" applyAlignment="1" applyProtection="1">
      <alignment vertical="center" wrapText="1"/>
    </xf>
    <xf numFmtId="164" fontId="8" fillId="0" borderId="0" xfId="12" applyNumberFormat="1" applyFont="1" applyFill="1" applyBorder="1" applyAlignment="1" applyProtection="1">
      <alignment vertical="center" wrapText="1"/>
    </xf>
    <xf numFmtId="0" fontId="8" fillId="0" borderId="1" xfId="12" applyFont="1" applyBorder="1" applyAlignment="1" applyProtection="1">
      <alignment horizontal="center" vertical="top" wrapText="1"/>
    </xf>
    <xf numFmtId="0" fontId="14" fillId="0" borderId="1" xfId="12" applyFont="1" applyBorder="1" applyAlignment="1" applyProtection="1">
      <alignment horizontal="center" vertical="top" wrapText="1"/>
    </xf>
    <xf numFmtId="0" fontId="7" fillId="0" borderId="1" xfId="12" applyFont="1" applyBorder="1" applyAlignment="1" applyProtection="1">
      <alignment horizontal="center" wrapText="1"/>
    </xf>
    <xf numFmtId="0" fontId="14" fillId="0" borderId="1" xfId="12" applyFont="1" applyFill="1" applyBorder="1" applyAlignment="1" applyProtection="1">
      <alignment horizontal="center" vertical="top" wrapText="1"/>
    </xf>
    <xf numFmtId="0" fontId="14" fillId="0" borderId="1" xfId="12" applyFont="1" applyFill="1" applyBorder="1" applyAlignment="1" applyProtection="1">
      <alignment horizontal="center" wrapText="1"/>
    </xf>
    <xf numFmtId="169" fontId="14" fillId="0" borderId="1" xfId="14" applyNumberFormat="1" applyFont="1" applyBorder="1" applyAlignment="1" applyProtection="1">
      <alignment horizontal="center" vertical="center" wrapText="1"/>
    </xf>
    <xf numFmtId="0" fontId="14" fillId="0" borderId="1" xfId="14" applyFont="1" applyBorder="1" applyAlignment="1" applyProtection="1">
      <alignment horizontal="left" vertical="center" wrapText="1"/>
    </xf>
    <xf numFmtId="166" fontId="14" fillId="0" borderId="1" xfId="11" applyNumberFormat="1" applyFont="1" applyBorder="1" applyAlignment="1" applyProtection="1">
      <alignment horizontal="center" vertical="center" wrapText="1"/>
    </xf>
    <xf numFmtId="165" fontId="14" fillId="0" borderId="1" xfId="14" applyNumberFormat="1" applyFont="1" applyFill="1" applyBorder="1" applyAlignment="1" applyProtection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center" wrapText="1"/>
    </xf>
    <xf numFmtId="166" fontId="14" fillId="0" borderId="1" xfId="12" applyNumberFormat="1" applyFont="1" applyFill="1" applyBorder="1" applyAlignment="1" applyProtection="1">
      <alignment vertical="center" wrapText="1"/>
    </xf>
    <xf numFmtId="169" fontId="8" fillId="0" borderId="1" xfId="12" applyNumberFormat="1" applyFont="1" applyFill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horizontal="center" vertical="center" wrapText="1"/>
    </xf>
    <xf numFmtId="0" fontId="7" fillId="0" borderId="3" xfId="12" applyFont="1" applyFill="1" applyBorder="1" applyAlignment="1" applyProtection="1">
      <alignment horizontal="left" vertical="center" wrapText="1"/>
    </xf>
    <xf numFmtId="0" fontId="7" fillId="0" borderId="1" xfId="12" applyFont="1" applyFill="1" applyBorder="1" applyAlignment="1" applyProtection="1">
      <alignment horizontal="left" vertical="center" wrapText="1"/>
    </xf>
    <xf numFmtId="0" fontId="8" fillId="0" borderId="3" xfId="12" applyFont="1" applyFill="1" applyBorder="1" applyAlignment="1" applyProtection="1">
      <alignment horizontal="left" vertical="center" wrapText="1"/>
    </xf>
    <xf numFmtId="0" fontId="8" fillId="0" borderId="1" xfId="12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top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horizontal="center" vertical="center"/>
    </xf>
    <xf numFmtId="0" fontId="7" fillId="0" borderId="9" xfId="12" applyFont="1" applyFill="1" applyBorder="1" applyAlignment="1" applyProtection="1">
      <alignment horizontal="center" vertical="center" wrapText="1"/>
    </xf>
    <xf numFmtId="0" fontId="7" fillId="0" borderId="1" xfId="12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top" wrapText="1"/>
    </xf>
    <xf numFmtId="0" fontId="9" fillId="0" borderId="0" xfId="12" applyFont="1" applyFill="1" applyAlignment="1" applyProtection="1">
      <alignment horizontal="center" wrapText="1"/>
    </xf>
    <xf numFmtId="0" fontId="9" fillId="0" borderId="0" xfId="12" applyFont="1" applyBorder="1" applyAlignment="1" applyProtection="1">
      <alignment horizontal="center" vertical="center"/>
    </xf>
    <xf numFmtId="49" fontId="7" fillId="0" borderId="1" xfId="9" applyNumberFormat="1" applyFont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horizontal="center" vertical="center"/>
    </xf>
    <xf numFmtId="0" fontId="7" fillId="0" borderId="9" xfId="12" applyFont="1" applyFill="1" applyBorder="1" applyAlignment="1" applyProtection="1">
      <alignment horizontal="center" vertical="center"/>
    </xf>
    <xf numFmtId="0" fontId="7" fillId="0" borderId="8" xfId="12" applyFont="1" applyFill="1" applyBorder="1" applyAlignment="1" applyProtection="1">
      <alignment horizontal="center" vertical="center"/>
    </xf>
    <xf numFmtId="0" fontId="7" fillId="0" borderId="7" xfId="12" applyFont="1" applyFill="1" applyBorder="1" applyAlignment="1" applyProtection="1">
      <alignment horizontal="center" vertical="center"/>
    </xf>
    <xf numFmtId="0" fontId="7" fillId="0" borderId="1" xfId="12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top"/>
    </xf>
    <xf numFmtId="0" fontId="11" fillId="0" borderId="8" xfId="0" applyFont="1" applyBorder="1" applyAlignment="1" applyProtection="1">
      <alignment horizontal="center" vertical="top"/>
    </xf>
    <xf numFmtId="0" fontId="11" fillId="0" borderId="7" xfId="0" applyFont="1" applyBorder="1" applyAlignment="1" applyProtection="1">
      <alignment horizontal="center" vertical="top"/>
    </xf>
    <xf numFmtId="44" fontId="12" fillId="0" borderId="9" xfId="15" applyFont="1" applyBorder="1" applyAlignment="1" applyProtection="1">
      <alignment horizontal="left" vertical="top" wrapText="1"/>
    </xf>
    <xf numFmtId="44" fontId="12" fillId="0" borderId="8" xfId="15" applyFont="1" applyBorder="1" applyAlignment="1" applyProtection="1">
      <alignment horizontal="left" vertical="top" wrapText="1"/>
    </xf>
    <xf numFmtId="44" fontId="12" fillId="0" borderId="7" xfId="15" applyFont="1" applyBorder="1" applyAlignment="1" applyProtection="1">
      <alignment horizontal="left" vertical="top" wrapText="1"/>
    </xf>
    <xf numFmtId="0" fontId="7" fillId="0" borderId="9" xfId="12" applyFont="1" applyFill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horizontal="left" vertical="center" wrapText="1"/>
    </xf>
    <xf numFmtId="0" fontId="7" fillId="0" borderId="8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vertical="center" wrapText="1"/>
    </xf>
    <xf numFmtId="0" fontId="8" fillId="0" borderId="3" xfId="12" applyFont="1" applyFill="1" applyBorder="1" applyAlignment="1" applyProtection="1">
      <alignment horizontal="left" vertical="center" wrapText="1"/>
    </xf>
    <xf numFmtId="0" fontId="8" fillId="0" borderId="1" xfId="12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top" wrapText="1"/>
    </xf>
    <xf numFmtId="0" fontId="8" fillId="0" borderId="4" xfId="12" applyFont="1" applyBorder="1" applyAlignment="1" applyProtection="1">
      <alignment horizontal="left" vertical="center" wrapText="1"/>
    </xf>
  </cellXfs>
  <cellStyles count="16">
    <cellStyle name="Денежный" xfId="15" builtinId="4"/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2" xfId="13"/>
    <cellStyle name="Обычный 21_СВОД по районам" xfId="5"/>
    <cellStyle name="Обычный 3" xfId="6"/>
    <cellStyle name="Обычный 4" xfId="7"/>
    <cellStyle name="Обычный 5" xfId="8"/>
    <cellStyle name="Обычный_3-РЕМОНТ_МОСТОВ на 2011год" xfId="9"/>
    <cellStyle name="Обычный_ВЫПОЛНЕНИЕ программы ИЖС-2010 год" xfId="10"/>
    <cellStyle name="Обычный_мероприятия (приложение 2 к 139-пп)" xfId="11"/>
    <cellStyle name="Стиль 1" xfId="12"/>
    <cellStyle name="Стиль 1 2" xfId="1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92D050"/>
  </sheetPr>
  <dimension ref="A1:AG429"/>
  <sheetViews>
    <sheetView tabSelected="1" view="pageBreakPreview" zoomScale="60" zoomScaleNormal="51" zoomScalePageLayoutView="72" workbookViewId="0">
      <pane xSplit="3" ySplit="9" topLeftCell="D10" activePane="bottomRight" state="frozen"/>
      <selection pane="topRight" activeCell="D1" sqref="D1"/>
      <selection pane="bottomLeft" activeCell="A164" sqref="A164"/>
      <selection pane="bottomRight" activeCell="L23" sqref="L23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4.7109375" style="66" customWidth="1"/>
    <col min="5" max="5" width="20.7109375" style="66" customWidth="1"/>
    <col min="6" max="6" width="14.7109375" style="66" customWidth="1"/>
    <col min="7" max="7" width="20.7109375" style="66" customWidth="1"/>
    <col min="8" max="8" width="18.7109375" style="66" customWidth="1"/>
    <col min="9" max="10" width="15.7109375" style="66" customWidth="1"/>
    <col min="11" max="11" width="13" style="66" customWidth="1"/>
    <col min="12" max="12" width="20.7109375" style="66" customWidth="1"/>
    <col min="13" max="13" width="18.7109375" style="66" customWidth="1"/>
    <col min="14" max="14" width="17.42578125" style="66" customWidth="1"/>
    <col min="15" max="15" width="15.7109375" style="66" customWidth="1"/>
    <col min="16" max="16" width="14.140625" style="66" customWidth="1"/>
    <col min="17" max="17" width="20.7109375" style="66" customWidth="1"/>
    <col min="18" max="19" width="17.7109375" style="66" customWidth="1"/>
    <col min="20" max="20" width="16.28515625" style="66" customWidth="1"/>
    <col min="21" max="21" width="15.5703125" style="66" customWidth="1"/>
    <col min="22" max="22" width="21.28515625" style="2" customWidth="1"/>
    <col min="23" max="23" width="21.7109375" style="2" customWidth="1"/>
    <col min="24" max="24" width="19" style="2" customWidth="1"/>
    <col min="25" max="25" width="25.7109375" style="2" customWidth="1"/>
    <col min="26" max="26" width="21.42578125" style="2" customWidth="1"/>
    <col min="27" max="28" width="16.7109375" style="2" customWidth="1"/>
    <col min="29" max="31" width="9.140625" style="2"/>
    <col min="32" max="32" width="10.28515625" style="2" customWidth="1"/>
    <col min="33" max="33" width="19.5703125" style="2" customWidth="1"/>
    <col min="34" max="16384" width="9.140625" style="2"/>
  </cols>
  <sheetData>
    <row r="1" spans="1:27" s="4" customFormat="1" ht="102.75" customHeight="1">
      <c r="A1" s="3"/>
      <c r="D1" s="47"/>
      <c r="E1" s="48"/>
      <c r="F1" s="47"/>
      <c r="G1" s="51"/>
      <c r="I1" s="51"/>
      <c r="J1" s="51"/>
      <c r="K1" s="52"/>
      <c r="L1" s="50"/>
      <c r="M1" s="50"/>
      <c r="N1" s="119" t="s">
        <v>115</v>
      </c>
      <c r="O1" s="119"/>
      <c r="P1" s="119"/>
      <c r="Q1" s="119"/>
      <c r="R1" s="119"/>
      <c r="S1" s="119"/>
      <c r="T1" s="119"/>
      <c r="U1" s="114"/>
    </row>
    <row r="2" spans="1:27" s="4" customFormat="1" ht="19.5" customHeight="1">
      <c r="A2" s="3"/>
      <c r="D2" s="47"/>
      <c r="E2" s="49"/>
      <c r="F2" s="51"/>
      <c r="G2" s="51"/>
      <c r="H2" s="47"/>
      <c r="I2" s="51"/>
      <c r="J2" s="51"/>
      <c r="K2" s="52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s="4" customFormat="1" ht="36.75" customHeight="1">
      <c r="A3" s="120" t="s">
        <v>116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53"/>
    </row>
    <row r="4" spans="1:27" s="4" customFormat="1" ht="28.5" customHeight="1">
      <c r="A4" s="3"/>
      <c r="D4" s="47"/>
      <c r="E4" s="47"/>
      <c r="F4" s="54"/>
      <c r="G4" s="54"/>
      <c r="H4" s="54"/>
      <c r="I4" s="54"/>
      <c r="J4" s="54"/>
      <c r="K4" s="55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7" s="4" customFormat="1" ht="34.5" customHeight="1">
      <c r="A5" s="121" t="s">
        <v>0</v>
      </c>
      <c r="B5" s="121" t="s">
        <v>1</v>
      </c>
      <c r="C5" s="121" t="s">
        <v>2</v>
      </c>
      <c r="D5" s="122" t="s">
        <v>3</v>
      </c>
      <c r="E5" s="122"/>
      <c r="F5" s="123" t="s">
        <v>4</v>
      </c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5"/>
      <c r="U5" s="75"/>
      <c r="V5" s="5"/>
      <c r="W5" s="5"/>
      <c r="X5" s="5"/>
      <c r="Y5" s="5"/>
      <c r="Z5" s="5"/>
      <c r="AA5" s="5"/>
    </row>
    <row r="6" spans="1:27" s="4" customFormat="1" ht="29.25" customHeight="1">
      <c r="A6" s="121"/>
      <c r="B6" s="121"/>
      <c r="C6" s="121"/>
      <c r="D6" s="122"/>
      <c r="E6" s="122"/>
      <c r="F6" s="122" t="s">
        <v>7</v>
      </c>
      <c r="G6" s="122"/>
      <c r="H6" s="122"/>
      <c r="I6" s="122"/>
      <c r="J6" s="122"/>
      <c r="K6" s="122" t="s">
        <v>105</v>
      </c>
      <c r="L6" s="122"/>
      <c r="M6" s="122"/>
      <c r="N6" s="122"/>
      <c r="O6" s="123"/>
      <c r="P6" s="122" t="s">
        <v>113</v>
      </c>
      <c r="Q6" s="122"/>
      <c r="R6" s="122"/>
      <c r="S6" s="122"/>
      <c r="T6" s="122"/>
      <c r="U6" s="75"/>
      <c r="V6" s="5"/>
      <c r="W6" s="5"/>
      <c r="X6" s="5"/>
      <c r="Y6" s="5"/>
      <c r="Z6" s="5"/>
      <c r="AA6" s="5"/>
    </row>
    <row r="7" spans="1:27" s="4" customFormat="1" ht="81" customHeight="1">
      <c r="A7" s="121"/>
      <c r="B7" s="121"/>
      <c r="C7" s="121"/>
      <c r="D7" s="108" t="s">
        <v>124</v>
      </c>
      <c r="E7" s="126" t="s">
        <v>8</v>
      </c>
      <c r="F7" s="108" t="s">
        <v>124</v>
      </c>
      <c r="G7" s="126" t="s">
        <v>6</v>
      </c>
      <c r="H7" s="126" t="s">
        <v>9</v>
      </c>
      <c r="I7" s="126"/>
      <c r="J7" s="126"/>
      <c r="K7" s="108" t="s">
        <v>124</v>
      </c>
      <c r="L7" s="126" t="s">
        <v>6</v>
      </c>
      <c r="M7" s="126" t="s">
        <v>9</v>
      </c>
      <c r="N7" s="126"/>
      <c r="O7" s="133"/>
      <c r="P7" s="108" t="s">
        <v>124</v>
      </c>
      <c r="Q7" s="126" t="s">
        <v>6</v>
      </c>
      <c r="R7" s="126" t="s">
        <v>9</v>
      </c>
      <c r="S7" s="126"/>
      <c r="T7" s="126"/>
      <c r="U7" s="114"/>
      <c r="V7" s="5"/>
      <c r="W7" s="5"/>
      <c r="X7" s="5"/>
      <c r="Y7" s="5"/>
      <c r="Z7" s="5"/>
      <c r="AA7" s="5"/>
    </row>
    <row r="8" spans="1:27" s="4" customFormat="1" ht="74.25" customHeight="1">
      <c r="A8" s="121"/>
      <c r="B8" s="121"/>
      <c r="C8" s="121"/>
      <c r="D8" s="115" t="s">
        <v>5</v>
      </c>
      <c r="E8" s="126"/>
      <c r="F8" s="115" t="s">
        <v>5</v>
      </c>
      <c r="G8" s="126"/>
      <c r="H8" s="108" t="s">
        <v>10</v>
      </c>
      <c r="I8" s="108" t="s">
        <v>61</v>
      </c>
      <c r="J8" s="108" t="s">
        <v>62</v>
      </c>
      <c r="K8" s="115" t="s">
        <v>5</v>
      </c>
      <c r="L8" s="126"/>
      <c r="M8" s="108" t="s">
        <v>10</v>
      </c>
      <c r="N8" s="108" t="s">
        <v>61</v>
      </c>
      <c r="O8" s="116" t="s">
        <v>62</v>
      </c>
      <c r="P8" s="115" t="s">
        <v>5</v>
      </c>
      <c r="Q8" s="126"/>
      <c r="R8" s="108" t="s">
        <v>10</v>
      </c>
      <c r="S8" s="108" t="s">
        <v>61</v>
      </c>
      <c r="T8" s="108" t="s">
        <v>62</v>
      </c>
      <c r="U8" s="114"/>
      <c r="V8" s="5"/>
      <c r="W8" s="5"/>
      <c r="X8" s="5"/>
      <c r="Y8" s="5"/>
      <c r="Z8" s="5"/>
      <c r="AA8" s="5"/>
    </row>
    <row r="9" spans="1:27" s="4" customFormat="1" ht="36" customHeight="1">
      <c r="A9" s="43">
        <v>1</v>
      </c>
      <c r="B9" s="43">
        <v>2</v>
      </c>
      <c r="C9" s="43">
        <v>3</v>
      </c>
      <c r="D9" s="56">
        <v>4</v>
      </c>
      <c r="E9" s="56">
        <v>5</v>
      </c>
      <c r="F9" s="56">
        <v>6</v>
      </c>
      <c r="G9" s="56">
        <v>7</v>
      </c>
      <c r="H9" s="56">
        <v>8</v>
      </c>
      <c r="I9" s="56">
        <v>9</v>
      </c>
      <c r="J9" s="56">
        <v>10</v>
      </c>
      <c r="K9" s="56">
        <v>11</v>
      </c>
      <c r="L9" s="56">
        <v>12</v>
      </c>
      <c r="M9" s="56">
        <v>13</v>
      </c>
      <c r="N9" s="56">
        <v>14</v>
      </c>
      <c r="O9" s="85">
        <v>15</v>
      </c>
      <c r="P9" s="56">
        <v>16</v>
      </c>
      <c r="Q9" s="56">
        <v>17</v>
      </c>
      <c r="R9" s="56">
        <v>18</v>
      </c>
      <c r="S9" s="56">
        <v>19</v>
      </c>
      <c r="T9" s="56">
        <v>20</v>
      </c>
      <c r="U9" s="76"/>
      <c r="V9" s="5"/>
      <c r="W9" s="5"/>
      <c r="X9" s="5"/>
      <c r="Y9" s="5"/>
      <c r="Z9" s="5"/>
      <c r="AA9" s="5"/>
    </row>
    <row r="10" spans="1:27" s="4" customFormat="1" ht="33" customHeight="1">
      <c r="A10" s="127" t="s">
        <v>11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9"/>
      <c r="U10" s="77"/>
      <c r="V10" s="5"/>
      <c r="W10" s="5"/>
      <c r="X10" s="5"/>
      <c r="Y10" s="5"/>
      <c r="Z10" s="5"/>
      <c r="AA10" s="5"/>
    </row>
    <row r="11" spans="1:27" s="4" customFormat="1" ht="40.5" customHeight="1">
      <c r="A11" s="96" t="s">
        <v>12</v>
      </c>
      <c r="B11" s="130" t="s">
        <v>123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2"/>
      <c r="U11" s="50"/>
      <c r="V11" s="5"/>
      <c r="W11" s="5"/>
      <c r="X11" s="5"/>
      <c r="Y11" s="5"/>
      <c r="Z11" s="5"/>
      <c r="AA11" s="5"/>
    </row>
    <row r="12" spans="1:27" s="4" customFormat="1" ht="33.75" hidden="1" customHeight="1">
      <c r="A12" s="96">
        <v>1</v>
      </c>
      <c r="B12" s="118" t="s">
        <v>14</v>
      </c>
      <c r="C12" s="118"/>
      <c r="D12" s="42">
        <f>D16</f>
        <v>2.8</v>
      </c>
      <c r="E12" s="42">
        <f>E16</f>
        <v>196807.1</v>
      </c>
      <c r="F12" s="42"/>
      <c r="G12" s="42"/>
      <c r="H12" s="42"/>
      <c r="I12" s="42"/>
      <c r="J12" s="42"/>
      <c r="K12" s="39"/>
      <c r="L12" s="57"/>
      <c r="M12" s="57"/>
      <c r="N12" s="57"/>
      <c r="O12" s="86"/>
      <c r="P12" s="57"/>
      <c r="Q12" s="57"/>
      <c r="R12" s="57"/>
      <c r="S12" s="57"/>
      <c r="T12" s="57"/>
      <c r="U12" s="50"/>
      <c r="V12" s="5"/>
      <c r="W12" s="5"/>
      <c r="X12" s="5"/>
      <c r="Y12" s="5"/>
      <c r="Z12" s="5"/>
      <c r="AA12" s="5"/>
    </row>
    <row r="13" spans="1:27" s="4" customFormat="1" ht="26.25" hidden="1" customHeight="1">
      <c r="A13" s="117" t="s">
        <v>15</v>
      </c>
      <c r="B13" s="117"/>
      <c r="C13" s="6"/>
      <c r="D13" s="113"/>
      <c r="E13" s="113"/>
      <c r="F13" s="113"/>
      <c r="G13" s="113"/>
      <c r="H13" s="113"/>
      <c r="I13" s="113"/>
      <c r="J13" s="113"/>
      <c r="K13" s="39"/>
      <c r="L13" s="57"/>
      <c r="M13" s="57"/>
      <c r="N13" s="57"/>
      <c r="O13" s="86"/>
      <c r="P13" s="57"/>
      <c r="Q13" s="57"/>
      <c r="R13" s="57"/>
      <c r="S13" s="57"/>
      <c r="T13" s="57"/>
      <c r="U13" s="50"/>
      <c r="V13" s="5"/>
      <c r="W13" s="5"/>
      <c r="X13" s="5"/>
      <c r="Y13" s="5"/>
      <c r="Z13" s="5"/>
      <c r="AA13" s="5"/>
    </row>
    <row r="14" spans="1:27" s="4" customFormat="1" ht="30.75" hidden="1" customHeight="1">
      <c r="A14" s="97">
        <v>1</v>
      </c>
      <c r="B14" s="7" t="s">
        <v>16</v>
      </c>
      <c r="C14" s="7" t="s">
        <v>17</v>
      </c>
      <c r="D14" s="22">
        <v>2.5</v>
      </c>
      <c r="E14" s="23">
        <v>174477.09239999999</v>
      </c>
      <c r="F14" s="113"/>
      <c r="G14" s="113"/>
      <c r="H14" s="113"/>
      <c r="I14" s="113"/>
      <c r="J14" s="113"/>
      <c r="K14" s="39"/>
      <c r="L14" s="57"/>
      <c r="M14" s="57"/>
      <c r="N14" s="57"/>
      <c r="O14" s="86"/>
      <c r="P14" s="57"/>
      <c r="Q14" s="57"/>
      <c r="R14" s="57"/>
      <c r="S14" s="57"/>
      <c r="T14" s="57"/>
      <c r="U14" s="50"/>
      <c r="V14" s="5"/>
      <c r="W14" s="5"/>
      <c r="X14" s="5"/>
      <c r="Y14" s="5"/>
      <c r="Z14" s="5"/>
      <c r="AA14" s="5"/>
    </row>
    <row r="15" spans="1:27" s="4" customFormat="1" ht="33" hidden="1" customHeight="1">
      <c r="A15" s="117" t="s">
        <v>68</v>
      </c>
      <c r="B15" s="117"/>
      <c r="C15" s="117"/>
      <c r="D15" s="42"/>
      <c r="E15" s="42"/>
      <c r="F15" s="113"/>
      <c r="G15" s="113"/>
      <c r="H15" s="113"/>
      <c r="I15" s="113"/>
      <c r="J15" s="113"/>
      <c r="K15" s="39"/>
      <c r="L15" s="57"/>
      <c r="M15" s="57"/>
      <c r="N15" s="57"/>
      <c r="O15" s="86"/>
      <c r="P15" s="57"/>
      <c r="Q15" s="57"/>
      <c r="R15" s="57"/>
      <c r="S15" s="57"/>
      <c r="T15" s="57"/>
      <c r="U15" s="50"/>
      <c r="V15" s="5"/>
      <c r="W15" s="5"/>
      <c r="X15" s="5"/>
      <c r="Y15" s="5"/>
      <c r="Z15" s="5"/>
      <c r="AA15" s="5"/>
    </row>
    <row r="16" spans="1:27" s="4" customFormat="1" ht="45" hidden="1" customHeight="1">
      <c r="A16" s="97">
        <v>1</v>
      </c>
      <c r="B16" s="9" t="s">
        <v>18</v>
      </c>
      <c r="C16" s="21" t="s">
        <v>154</v>
      </c>
      <c r="D16" s="29">
        <v>2.8</v>
      </c>
      <c r="E16" s="23">
        <v>196807.1</v>
      </c>
      <c r="F16" s="113"/>
      <c r="G16" s="113"/>
      <c r="H16" s="113"/>
      <c r="I16" s="113"/>
      <c r="J16" s="113"/>
      <c r="K16" s="42"/>
      <c r="L16" s="57"/>
      <c r="M16" s="57"/>
      <c r="N16" s="57"/>
      <c r="O16" s="86"/>
      <c r="P16" s="57"/>
      <c r="Q16" s="57"/>
      <c r="R16" s="57"/>
      <c r="S16" s="57"/>
      <c r="T16" s="57"/>
      <c r="U16" s="50"/>
      <c r="V16" s="5"/>
      <c r="W16" s="5"/>
      <c r="X16" s="5"/>
      <c r="Y16" s="5"/>
      <c r="Z16" s="5"/>
      <c r="AA16" s="5"/>
    </row>
    <row r="17" spans="1:33" s="4" customFormat="1" ht="27" hidden="1" customHeight="1">
      <c r="A17" s="117" t="s">
        <v>20</v>
      </c>
      <c r="B17" s="117"/>
      <c r="C17" s="8"/>
      <c r="D17" s="42"/>
      <c r="E17" s="42"/>
      <c r="F17" s="113"/>
      <c r="G17" s="113"/>
      <c r="H17" s="113"/>
      <c r="I17" s="113"/>
      <c r="J17" s="113"/>
      <c r="K17" s="42"/>
      <c r="L17" s="57"/>
      <c r="M17" s="57"/>
      <c r="N17" s="57"/>
      <c r="O17" s="86"/>
      <c r="P17" s="57"/>
      <c r="Q17" s="57"/>
      <c r="R17" s="57"/>
      <c r="S17" s="57"/>
      <c r="T17" s="57"/>
      <c r="U17" s="50"/>
      <c r="V17" s="5"/>
      <c r="W17" s="5"/>
      <c r="X17" s="5"/>
      <c r="Y17" s="5"/>
      <c r="Z17" s="5"/>
      <c r="AA17" s="5"/>
    </row>
    <row r="18" spans="1:33" s="4" customFormat="1" ht="50.25" hidden="1" customHeight="1">
      <c r="A18" s="97">
        <v>3</v>
      </c>
      <c r="B18" s="9" t="s">
        <v>21</v>
      </c>
      <c r="C18" s="7"/>
      <c r="D18" s="22"/>
      <c r="E18" s="23"/>
      <c r="F18" s="29"/>
      <c r="G18" s="23"/>
      <c r="H18" s="113"/>
      <c r="I18" s="23"/>
      <c r="J18" s="23"/>
      <c r="K18" s="42"/>
      <c r="L18" s="57"/>
      <c r="M18" s="57"/>
      <c r="N18" s="57"/>
      <c r="O18" s="86"/>
      <c r="P18" s="57"/>
      <c r="Q18" s="57"/>
      <c r="R18" s="57"/>
      <c r="S18" s="57"/>
      <c r="T18" s="57"/>
      <c r="U18" s="50"/>
      <c r="V18" s="5"/>
      <c r="W18" s="5"/>
      <c r="X18" s="5"/>
      <c r="Y18" s="5"/>
      <c r="Z18" s="5"/>
      <c r="AA18" s="5"/>
    </row>
    <row r="19" spans="1:33" s="4" customFormat="1" ht="40.5" customHeight="1">
      <c r="A19" s="96">
        <v>1</v>
      </c>
      <c r="B19" s="118" t="s">
        <v>22</v>
      </c>
      <c r="C19" s="118"/>
      <c r="D19" s="38"/>
      <c r="E19" s="38"/>
      <c r="F19" s="113"/>
      <c r="G19" s="113"/>
      <c r="H19" s="113"/>
      <c r="I19" s="113"/>
      <c r="J19" s="113"/>
      <c r="K19" s="42"/>
      <c r="L19" s="57"/>
      <c r="M19" s="57"/>
      <c r="N19" s="57"/>
      <c r="O19" s="86"/>
      <c r="P19" s="57"/>
      <c r="Q19" s="57"/>
      <c r="R19" s="57"/>
      <c r="S19" s="57"/>
      <c r="T19" s="57"/>
      <c r="U19" s="50"/>
      <c r="V19" s="5"/>
      <c r="W19" s="5"/>
      <c r="X19" s="5"/>
      <c r="Y19" s="5"/>
      <c r="Z19" s="5"/>
      <c r="AA19" s="5"/>
    </row>
    <row r="20" spans="1:33" s="11" customFormat="1" ht="39" customHeight="1">
      <c r="A20" s="98"/>
      <c r="B20" s="15" t="s">
        <v>93</v>
      </c>
      <c r="C20" s="10"/>
      <c r="D20" s="42">
        <f>D22+D23</f>
        <v>510.97429999999997</v>
      </c>
      <c r="E20" s="42">
        <f>E22+E23</f>
        <v>19102857.802068494</v>
      </c>
      <c r="F20" s="42">
        <f t="shared" ref="F20:T20" si="0">F22+F23</f>
        <v>155.697</v>
      </c>
      <c r="G20" s="42">
        <f>G22+G23-0.01</f>
        <v>5047761.6432600003</v>
      </c>
      <c r="H20" s="42">
        <f t="shared" si="0"/>
        <v>4415238.526741785</v>
      </c>
      <c r="I20" s="42">
        <f t="shared" si="0"/>
        <v>602078.00104711566</v>
      </c>
      <c r="J20" s="42">
        <f t="shared" si="0"/>
        <v>30445.125471099997</v>
      </c>
      <c r="K20" s="42">
        <f>K22+K23</f>
        <v>176.66299999999995</v>
      </c>
      <c r="L20" s="42">
        <f t="shared" si="0"/>
        <v>6657874.4336004946</v>
      </c>
      <c r="M20" s="42">
        <f t="shared" si="0"/>
        <v>5439258.9203918763</v>
      </c>
      <c r="N20" s="42">
        <f t="shared" si="0"/>
        <v>1193983.7372986167</v>
      </c>
      <c r="O20" s="87">
        <f t="shared" si="0"/>
        <v>24631.795910000008</v>
      </c>
      <c r="P20" s="42">
        <f>P22+P23</f>
        <v>178.62430000000001</v>
      </c>
      <c r="Q20" s="42">
        <f t="shared" si="0"/>
        <v>7287422.5328080012</v>
      </c>
      <c r="R20" s="42">
        <f t="shared" si="0"/>
        <v>5964622.3144688141</v>
      </c>
      <c r="S20" s="42">
        <f t="shared" si="0"/>
        <v>1309307.1360522872</v>
      </c>
      <c r="T20" s="42">
        <f t="shared" si="0"/>
        <v>13493.082286900006</v>
      </c>
      <c r="U20" s="54"/>
      <c r="V20" s="12">
        <f>F20+K20+P20</f>
        <v>510.98429999999996</v>
      </c>
      <c r="W20" s="12">
        <f>G20+L20+Q20</f>
        <v>18993058.609668497</v>
      </c>
      <c r="X20" s="12"/>
      <c r="Y20" s="12">
        <f>F20+K20+P20</f>
        <v>510.98429999999996</v>
      </c>
      <c r="Z20" s="12">
        <f>G20+L20+Q20</f>
        <v>18993058.609668497</v>
      </c>
      <c r="AG20" s="20">
        <v>3792827.38</v>
      </c>
    </row>
    <row r="21" spans="1:33" s="11" customFormat="1" ht="27" customHeight="1">
      <c r="A21" s="98"/>
      <c r="B21" s="44" t="s">
        <v>9</v>
      </c>
      <c r="C21" s="10"/>
      <c r="D21" s="42"/>
      <c r="E21" s="42"/>
      <c r="F21" s="42"/>
      <c r="G21" s="42"/>
      <c r="H21" s="42"/>
      <c r="I21" s="42"/>
      <c r="J21" s="42"/>
      <c r="K21" s="58"/>
      <c r="L21" s="34"/>
      <c r="M21" s="34"/>
      <c r="N21" s="34"/>
      <c r="O21" s="88"/>
      <c r="P21" s="34"/>
      <c r="Q21" s="34"/>
      <c r="R21" s="34"/>
      <c r="S21" s="34"/>
      <c r="T21" s="34"/>
      <c r="U21" s="78"/>
      <c r="V21" s="68"/>
      <c r="W21" s="68">
        <f>V131</f>
        <v>109799.21240000002</v>
      </c>
      <c r="X21" s="70"/>
      <c r="Y21" s="12"/>
      <c r="AG21" s="13"/>
    </row>
    <row r="22" spans="1:33" s="11" customFormat="1" ht="33.75" customHeight="1">
      <c r="A22" s="98"/>
      <c r="B22" s="15" t="s">
        <v>23</v>
      </c>
      <c r="C22" s="14"/>
      <c r="D22" s="42">
        <f t="shared" ref="D22:I22" si="1">D30+D45+D53+D63+D69+D77+D83+D91+D98+D106+D113+D120+D127+D135+D143+D153+D161+D168+D176+D182+D190</f>
        <v>449.80899999999997</v>
      </c>
      <c r="E22" s="42">
        <f>E30+E45+E53+E63+E69+E77+E83+E91+E98+E106+E113+E120+E127+E135+E143+E153+E161+E168+E176+E182+E190-0.05</f>
        <v>17864285.647000495</v>
      </c>
      <c r="F22" s="42">
        <f t="shared" si="1"/>
        <v>128.351</v>
      </c>
      <c r="G22" s="42">
        <f t="shared" si="1"/>
        <v>4493463.9492600001</v>
      </c>
      <c r="H22" s="42">
        <f t="shared" si="1"/>
        <v>3954248.2007286851</v>
      </c>
      <c r="I22" s="42">
        <f t="shared" si="1"/>
        <v>539215.74853131524</v>
      </c>
      <c r="J22" s="42"/>
      <c r="K22" s="42">
        <f>K30+K45+K53+K63+K69+K77+K83+K91+K98+K106+K113+K120+K127+K135+K143+K153+K161+K168+K176+K182+K190</f>
        <v>157.20999999999995</v>
      </c>
      <c r="L22" s="42">
        <f>L30+L45+L53+L63+L69+L77+L83+L91+L98+L106+L113+L120+L127+L135+L143+L153+L161+L168+L176+L182+L190-0.02</f>
        <v>6228348.833600495</v>
      </c>
      <c r="M22" s="42">
        <f>M30+M45+M53+M63+M69+M77+M83+M91+M98+M106+M113+M120+M127+M135+M143+M153+M161+M168+M176+M182+M190</f>
        <v>5107246.0271140765</v>
      </c>
      <c r="N22" s="42">
        <f>N30+N45+N53+N63+N69+N77+N83+N91+N98+N106+N113+N120+N127+N135+N143+N153+N161+N168+N176+N182+N190</f>
        <v>1121102.8264864166</v>
      </c>
      <c r="O22" s="42"/>
      <c r="P22" s="42">
        <f>P30+P45+P53+P63+P69+P77+P83+P91+P98+P106+P113+P120+P127+P135+P143+P153+P161+P168+P176+P182+P190</f>
        <v>164.24799999999999</v>
      </c>
      <c r="Q22" s="42">
        <f>Q30+Q45+Q53+Q63+Q69+Q77+Q83+Q91+Q98+Q106+Q113+Q120+Q127+Q135+Q143+Q153+Q161+Q168+Q176+Q182+Q190</f>
        <v>7032673.6817400008</v>
      </c>
      <c r="R22" s="42">
        <f>R30+R45+R53+R63+R69+R77+R83+R91+R98+R106+R113+R120+R127+R135+R143+R153+R161+R168+R176+R182+R190</f>
        <v>5766792.4144688137</v>
      </c>
      <c r="S22" s="42">
        <f>S30+S45+S53+S63+S69+S77+S83+S91+S98+S106+S113+S120+S127+S135+S143+S153+S161+S168+S176+S182+S190</f>
        <v>1265881.2672711872</v>
      </c>
      <c r="T22" s="42">
        <f>T30+T45+T53+T63+T69+T77+T83+T91+T98+T106+T113+T120+T127+T135+T143+T153+T161+T168+T176+T182+T190</f>
        <v>0</v>
      </c>
      <c r="U22" s="54"/>
      <c r="V22" s="12">
        <f>F22+K22+P22</f>
        <v>449.80899999999991</v>
      </c>
      <c r="W22" s="12">
        <f>G22+L22+Q22</f>
        <v>17754486.464600496</v>
      </c>
      <c r="X22" s="12"/>
      <c r="Y22" s="12">
        <f>F22+K22+P22</f>
        <v>449.80899999999991</v>
      </c>
      <c r="Z22" s="12">
        <f>G22+L22+Q22</f>
        <v>17754486.464600496</v>
      </c>
      <c r="AG22" s="13"/>
    </row>
    <row r="23" spans="1:33" s="11" customFormat="1" ht="38.25" customHeight="1">
      <c r="A23" s="98"/>
      <c r="B23" s="15" t="s">
        <v>24</v>
      </c>
      <c r="C23" s="14"/>
      <c r="D23" s="42">
        <f>D31+D46+D54+D64+D70+D78+D84+D92+D99+D107+D114+D121+D128+D136+D144+D154+D169+D183+D191</f>
        <v>61.165300000000002</v>
      </c>
      <c r="E23" s="42">
        <f>E31+E46+E54+E64+E70+E78+E84+E92+E99+E107+E114+E121+E128+E136+E144+E154+E169+E183+E191</f>
        <v>1238572.1550680001</v>
      </c>
      <c r="F23" s="42">
        <f>F31+F46+F54+F64+F70+F78+F84+F92+F99+F107+F114+F121+F128+F136+F144+F154+F169+F183+F191</f>
        <v>27.345999999999997</v>
      </c>
      <c r="G23" s="42">
        <f>G31+G46+G54+G64+G70+G78+G84+G92+G99+G107+G114+G121+G128+G136+G144+G154+G169+G183+G191</f>
        <v>554297.70400000003</v>
      </c>
      <c r="H23" s="42">
        <f>H31+H46+H64+H70+H78+H84+H99+H121+H136+H144+H191</f>
        <v>460990.32601309969</v>
      </c>
      <c r="I23" s="42">
        <f t="shared" ref="I23:T23" si="2">I31+I46+I54+I64+I70+I78+I84+I92+I99+I107+I114+I121+I128+I136+I144+I154+I169+I183+I191</f>
        <v>62862.252515800399</v>
      </c>
      <c r="J23" s="42">
        <f t="shared" si="2"/>
        <v>30445.125471099997</v>
      </c>
      <c r="K23" s="42">
        <f>K31+K46+K54+K64+K70+K78+K84+K92+K99+K107+K114+K121+K128+K136+K144+K154+K169+K183+K191+0.01</f>
        <v>19.453000000000003</v>
      </c>
      <c r="L23" s="42">
        <f t="shared" si="2"/>
        <v>429525.6</v>
      </c>
      <c r="M23" s="42">
        <f t="shared" si="2"/>
        <v>332012.89327779994</v>
      </c>
      <c r="N23" s="42">
        <f t="shared" si="2"/>
        <v>72880.910812200018</v>
      </c>
      <c r="O23" s="42">
        <f t="shared" si="2"/>
        <v>24631.795910000008</v>
      </c>
      <c r="P23" s="42">
        <f t="shared" si="2"/>
        <v>14.376300000000001</v>
      </c>
      <c r="Q23" s="42">
        <f t="shared" si="2"/>
        <v>254748.85106800002</v>
      </c>
      <c r="R23" s="42">
        <f t="shared" si="2"/>
        <v>197829.89999999997</v>
      </c>
      <c r="S23" s="42">
        <f t="shared" si="2"/>
        <v>43425.868781099998</v>
      </c>
      <c r="T23" s="42">
        <f t="shared" si="2"/>
        <v>13493.082286900006</v>
      </c>
      <c r="U23" s="54"/>
      <c r="V23" s="12">
        <f>F23+K23+P23</f>
        <v>61.1753</v>
      </c>
      <c r="W23" s="12">
        <f t="shared" ref="W23" si="3">G23+L23+Q23</f>
        <v>1238572.1550680001</v>
      </c>
      <c r="X23" s="12"/>
      <c r="Y23" s="12">
        <f>F23+K23+P23</f>
        <v>61.1753</v>
      </c>
      <c r="Z23" s="12">
        <f>G23+L23+Q23</f>
        <v>1238572.1550680001</v>
      </c>
      <c r="AG23" s="13"/>
    </row>
    <row r="24" spans="1:33" s="11" customFormat="1" ht="40.5" customHeight="1">
      <c r="A24" s="117" t="s">
        <v>15</v>
      </c>
      <c r="B24" s="117"/>
      <c r="C24" s="117"/>
      <c r="D24" s="42"/>
      <c r="E24" s="42"/>
      <c r="F24" s="42"/>
      <c r="G24" s="58"/>
      <c r="H24" s="42"/>
      <c r="I24" s="42"/>
      <c r="J24" s="42"/>
      <c r="K24" s="34"/>
      <c r="L24" s="34"/>
      <c r="M24" s="34"/>
      <c r="N24" s="34"/>
      <c r="O24" s="88"/>
      <c r="P24" s="34"/>
      <c r="Q24" s="34"/>
      <c r="R24" s="34"/>
      <c r="S24" s="34"/>
      <c r="T24" s="34"/>
      <c r="U24" s="78"/>
      <c r="AG24" s="13"/>
    </row>
    <row r="25" spans="1:33" s="11" customFormat="1" ht="45.75" customHeight="1">
      <c r="A25" s="99">
        <v>1</v>
      </c>
      <c r="B25" s="19" t="s">
        <v>110</v>
      </c>
      <c r="C25" s="21" t="s">
        <v>17</v>
      </c>
      <c r="D25" s="22">
        <v>4.5999999999999996</v>
      </c>
      <c r="E25" s="23">
        <v>122453.86336</v>
      </c>
      <c r="F25" s="22">
        <f>D25</f>
        <v>4.5999999999999996</v>
      </c>
      <c r="G25" s="23">
        <f>E25</f>
        <v>122453.86336</v>
      </c>
      <c r="H25" s="23">
        <f t="shared" ref="H25" si="4">G25*0.879999983231406</f>
        <v>107759.39770342089</v>
      </c>
      <c r="I25" s="23">
        <f>G25-H25</f>
        <v>14694.465656579108</v>
      </c>
      <c r="J25" s="23"/>
      <c r="K25" s="34"/>
      <c r="L25" s="34"/>
      <c r="M25" s="34"/>
      <c r="N25" s="34"/>
      <c r="O25" s="88"/>
      <c r="P25" s="34"/>
      <c r="Q25" s="34"/>
      <c r="R25" s="34"/>
      <c r="S25" s="34"/>
      <c r="T25" s="34"/>
      <c r="U25" s="78"/>
      <c r="Y25" s="12">
        <f>F25+K25+P25</f>
        <v>4.5999999999999996</v>
      </c>
      <c r="Z25" s="12">
        <f>G25+L25+Q25</f>
        <v>122453.86336</v>
      </c>
      <c r="AG25" s="13"/>
    </row>
    <row r="26" spans="1:33" s="11" customFormat="1" ht="43.5" hidden="1" customHeight="1">
      <c r="A26" s="99"/>
      <c r="B26" s="19" t="s">
        <v>94</v>
      </c>
      <c r="C26" s="21"/>
      <c r="D26" s="22"/>
      <c r="E26" s="23"/>
      <c r="F26" s="22"/>
      <c r="G26" s="23"/>
      <c r="H26" s="23"/>
      <c r="I26" s="23"/>
      <c r="J26" s="23"/>
      <c r="K26" s="22"/>
      <c r="L26" s="23"/>
      <c r="M26" s="23"/>
      <c r="N26" s="23"/>
      <c r="O26" s="89"/>
      <c r="P26" s="23"/>
      <c r="Q26" s="23"/>
      <c r="R26" s="23"/>
      <c r="S26" s="23"/>
      <c r="T26" s="23"/>
      <c r="U26" s="79"/>
      <c r="AG26" s="13"/>
    </row>
    <row r="27" spans="1:33" s="11" customFormat="1" ht="43.5" customHeight="1">
      <c r="A27" s="99">
        <v>2</v>
      </c>
      <c r="B27" s="19" t="s">
        <v>94</v>
      </c>
      <c r="C27" s="21" t="s">
        <v>17</v>
      </c>
      <c r="D27" s="22">
        <v>6.14</v>
      </c>
      <c r="E27" s="23">
        <v>245600</v>
      </c>
      <c r="F27" s="22"/>
      <c r="G27" s="23"/>
      <c r="H27" s="23"/>
      <c r="I27" s="23"/>
      <c r="J27" s="23"/>
      <c r="K27" s="22">
        <f>D27</f>
        <v>6.14</v>
      </c>
      <c r="L27" s="23">
        <f>E27</f>
        <v>245600</v>
      </c>
      <c r="M27" s="23">
        <f t="shared" ref="M27" si="5">L27*0.819999994727603</f>
        <v>201391.99870509931</v>
      </c>
      <c r="N27" s="23">
        <f>L27-M27</f>
        <v>44208.001294900692</v>
      </c>
      <c r="O27" s="89"/>
      <c r="P27" s="23"/>
      <c r="Q27" s="23"/>
      <c r="R27" s="23"/>
      <c r="S27" s="23"/>
      <c r="T27" s="23"/>
      <c r="U27" s="79"/>
      <c r="Y27" s="12">
        <f t="shared" ref="Y27:Z91" si="6">F27+K27+P27</f>
        <v>6.14</v>
      </c>
      <c r="Z27" s="12">
        <f t="shared" si="6"/>
        <v>245600</v>
      </c>
      <c r="AG27" s="13"/>
    </row>
    <row r="28" spans="1:33" s="11" customFormat="1" ht="43.5" customHeight="1">
      <c r="A28" s="99">
        <v>3</v>
      </c>
      <c r="B28" s="19" t="s">
        <v>148</v>
      </c>
      <c r="C28" s="21" t="s">
        <v>17</v>
      </c>
      <c r="D28" s="22">
        <v>10.7</v>
      </c>
      <c r="E28" s="23">
        <v>428000</v>
      </c>
      <c r="F28" s="22"/>
      <c r="G28" s="23"/>
      <c r="H28" s="23"/>
      <c r="I28" s="23"/>
      <c r="J28" s="23"/>
      <c r="K28" s="22"/>
      <c r="L28" s="23"/>
      <c r="M28" s="23"/>
      <c r="N28" s="23"/>
      <c r="O28" s="89"/>
      <c r="P28" s="23">
        <f>D28</f>
        <v>10.7</v>
      </c>
      <c r="Q28" s="23">
        <f>E28</f>
        <v>428000</v>
      </c>
      <c r="R28" s="23">
        <f>Q28*0.82</f>
        <v>350960</v>
      </c>
      <c r="S28" s="23">
        <f>Q28-R28</f>
        <v>77040</v>
      </c>
      <c r="T28" s="23"/>
      <c r="U28" s="79"/>
      <c r="Y28" s="12">
        <f t="shared" si="6"/>
        <v>10.7</v>
      </c>
      <c r="Z28" s="12">
        <f t="shared" si="6"/>
        <v>428000</v>
      </c>
      <c r="AG28" s="13"/>
    </row>
    <row r="29" spans="1:33" s="11" customFormat="1" ht="69.75" customHeight="1">
      <c r="A29" s="99">
        <v>4</v>
      </c>
      <c r="B29" s="19" t="s">
        <v>157</v>
      </c>
      <c r="C29" s="21" t="s">
        <v>17</v>
      </c>
      <c r="D29" s="22">
        <v>3</v>
      </c>
      <c r="E29" s="23">
        <v>120000</v>
      </c>
      <c r="F29" s="22"/>
      <c r="G29" s="23"/>
      <c r="H29" s="23"/>
      <c r="I29" s="23"/>
      <c r="J29" s="23"/>
      <c r="K29" s="22"/>
      <c r="L29" s="23"/>
      <c r="M29" s="23"/>
      <c r="N29" s="23"/>
      <c r="O29" s="89"/>
      <c r="P29" s="23">
        <f>D29</f>
        <v>3</v>
      </c>
      <c r="Q29" s="23">
        <f>E29</f>
        <v>120000</v>
      </c>
      <c r="R29" s="23">
        <f>Q29*0.82</f>
        <v>98400</v>
      </c>
      <c r="S29" s="23">
        <f>Q29-R29</f>
        <v>21600</v>
      </c>
      <c r="T29" s="23"/>
      <c r="U29" s="79"/>
      <c r="Y29" s="12">
        <f t="shared" si="6"/>
        <v>3</v>
      </c>
      <c r="Z29" s="12">
        <f t="shared" si="6"/>
        <v>120000</v>
      </c>
      <c r="AG29" s="13"/>
    </row>
    <row r="30" spans="1:33" s="11" customFormat="1" ht="31.5" customHeight="1">
      <c r="A30" s="112"/>
      <c r="B30" s="19" t="s">
        <v>31</v>
      </c>
      <c r="C30" s="21"/>
      <c r="D30" s="26">
        <f>SUBTOTAL(9,D25:D29)</f>
        <v>24.439999999999998</v>
      </c>
      <c r="E30" s="23">
        <f>SUBTOTAL(9,E25:E29)</f>
        <v>916053.86336000008</v>
      </c>
      <c r="F30" s="26">
        <f t="shared" ref="F30:I30" si="7">SUM(F25:F26)</f>
        <v>4.5999999999999996</v>
      </c>
      <c r="G30" s="23">
        <f t="shared" si="7"/>
        <v>122453.86336</v>
      </c>
      <c r="H30" s="23">
        <f t="shared" si="7"/>
        <v>107759.39770342089</v>
      </c>
      <c r="I30" s="23">
        <f t="shared" si="7"/>
        <v>14694.465656579108</v>
      </c>
      <c r="J30" s="23"/>
      <c r="K30" s="26">
        <f>K27</f>
        <v>6.14</v>
      </c>
      <c r="L30" s="23">
        <f>L27</f>
        <v>245600</v>
      </c>
      <c r="M30" s="23">
        <f>M27</f>
        <v>201391.99870509931</v>
      </c>
      <c r="N30" s="23">
        <f>N27</f>
        <v>44208.001294900692</v>
      </c>
      <c r="O30" s="89"/>
      <c r="P30" s="23">
        <f>P28+P29</f>
        <v>13.7</v>
      </c>
      <c r="Q30" s="23">
        <f t="shared" ref="Q30:S30" si="8">Q28+Q29</f>
        <v>548000</v>
      </c>
      <c r="R30" s="23">
        <f t="shared" si="8"/>
        <v>449360</v>
      </c>
      <c r="S30" s="23">
        <f t="shared" si="8"/>
        <v>98640</v>
      </c>
      <c r="T30" s="23"/>
      <c r="U30" s="79"/>
      <c r="Y30" s="12">
        <f t="shared" si="6"/>
        <v>24.439999999999998</v>
      </c>
      <c r="Z30" s="12">
        <f t="shared" si="6"/>
        <v>916053.86336000008</v>
      </c>
    </row>
    <row r="31" spans="1:33" s="11" customFormat="1" ht="31.5" customHeight="1">
      <c r="A31" s="112"/>
      <c r="B31" s="19" t="s">
        <v>32</v>
      </c>
      <c r="C31" s="21"/>
      <c r="D31" s="26">
        <f>F31+K31+P31</f>
        <v>3.9849999999999999</v>
      </c>
      <c r="E31" s="23">
        <f>G31+L31+Q31</f>
        <v>77839.199999999997</v>
      </c>
      <c r="F31" s="23">
        <v>3.9849999999999999</v>
      </c>
      <c r="G31" s="23">
        <v>77839.199999999997</v>
      </c>
      <c r="H31" s="23">
        <v>64388.561424</v>
      </c>
      <c r="I31" s="23">
        <f>G31-H31-J31</f>
        <v>8780.3385759999983</v>
      </c>
      <c r="J31" s="23">
        <v>4670.3</v>
      </c>
      <c r="K31" s="24"/>
      <c r="L31" s="21"/>
      <c r="M31" s="21"/>
      <c r="N31" s="21"/>
      <c r="O31" s="90"/>
      <c r="P31" s="21"/>
      <c r="Q31" s="21"/>
      <c r="R31" s="21"/>
      <c r="S31" s="21"/>
      <c r="T31" s="21"/>
      <c r="U31" s="80"/>
      <c r="Y31" s="12">
        <f t="shared" si="6"/>
        <v>3.9849999999999999</v>
      </c>
      <c r="Z31" s="12">
        <f t="shared" si="6"/>
        <v>77839.199999999997</v>
      </c>
    </row>
    <row r="32" spans="1:33" s="11" customFormat="1" ht="50.25" customHeight="1">
      <c r="A32" s="134" t="s">
        <v>25</v>
      </c>
      <c r="B32" s="134"/>
      <c r="C32" s="134"/>
      <c r="D32" s="42">
        <f>D30+D31</f>
        <v>28.424999999999997</v>
      </c>
      <c r="E32" s="42">
        <f>E30+E31</f>
        <v>993893.06336000003</v>
      </c>
      <c r="F32" s="42">
        <f>F30+F31</f>
        <v>8.5849999999999991</v>
      </c>
      <c r="G32" s="42">
        <f t="shared" ref="G32:J32" si="9">G30+G31</f>
        <v>200293.06336</v>
      </c>
      <c r="H32" s="42">
        <f t="shared" si="9"/>
        <v>172147.95912742091</v>
      </c>
      <c r="I32" s="42">
        <f t="shared" si="9"/>
        <v>23474.804232579107</v>
      </c>
      <c r="J32" s="42">
        <f t="shared" si="9"/>
        <v>4670.3</v>
      </c>
      <c r="K32" s="42">
        <f>K30+K31</f>
        <v>6.14</v>
      </c>
      <c r="L32" s="42">
        <f t="shared" ref="L32:N32" si="10">L30+L31</f>
        <v>245600</v>
      </c>
      <c r="M32" s="42">
        <f t="shared" si="10"/>
        <v>201391.99870509931</v>
      </c>
      <c r="N32" s="42">
        <f t="shared" si="10"/>
        <v>44208.001294900692</v>
      </c>
      <c r="O32" s="91"/>
      <c r="P32" s="42">
        <f>P30</f>
        <v>13.7</v>
      </c>
      <c r="Q32" s="42">
        <f t="shared" ref="Q32:S32" si="11">Q30</f>
        <v>548000</v>
      </c>
      <c r="R32" s="42">
        <f t="shared" si="11"/>
        <v>449360</v>
      </c>
      <c r="S32" s="42">
        <f t="shared" si="11"/>
        <v>98640</v>
      </c>
      <c r="T32" s="27"/>
      <c r="U32" s="81"/>
      <c r="V32" s="12"/>
      <c r="Y32" s="12">
        <f t="shared" si="6"/>
        <v>28.424999999999997</v>
      </c>
      <c r="Z32" s="12">
        <f t="shared" si="6"/>
        <v>993893.06336000003</v>
      </c>
      <c r="AG32" s="13"/>
    </row>
    <row r="33" spans="1:26" s="11" customFormat="1" ht="33.75" customHeight="1">
      <c r="A33" s="126" t="s">
        <v>69</v>
      </c>
      <c r="B33" s="126"/>
      <c r="C33" s="126"/>
      <c r="D33" s="22"/>
      <c r="E33" s="42"/>
      <c r="F33" s="23"/>
      <c r="G33" s="23"/>
      <c r="H33" s="23"/>
      <c r="I33" s="23"/>
      <c r="J33" s="23"/>
      <c r="K33" s="45"/>
      <c r="L33" s="34"/>
      <c r="M33" s="34"/>
      <c r="N33" s="34"/>
      <c r="O33" s="88"/>
      <c r="P33" s="34"/>
      <c r="Q33" s="34"/>
      <c r="R33" s="34"/>
      <c r="S33" s="34"/>
      <c r="T33" s="34"/>
      <c r="U33" s="78"/>
      <c r="Y33" s="12">
        <f t="shared" si="6"/>
        <v>0</v>
      </c>
      <c r="Z33" s="12">
        <f t="shared" si="6"/>
        <v>0</v>
      </c>
    </row>
    <row r="34" spans="1:26" s="11" customFormat="1" ht="48" customHeight="1">
      <c r="A34" s="99">
        <v>5</v>
      </c>
      <c r="B34" s="25" t="s">
        <v>60</v>
      </c>
      <c r="C34" s="21" t="s">
        <v>26</v>
      </c>
      <c r="D34" s="24">
        <v>1.4</v>
      </c>
      <c r="E34" s="23">
        <v>170204.77843999999</v>
      </c>
      <c r="F34" s="24">
        <f>D34</f>
        <v>1.4</v>
      </c>
      <c r="G34" s="23">
        <f>E34</f>
        <v>170204.77843999999</v>
      </c>
      <c r="H34" s="23">
        <f t="shared" ref="H34" si="12">G34*0.879999983231406</f>
        <v>149780.20217310518</v>
      </c>
      <c r="I34" s="23">
        <f>G34-H34</f>
        <v>20424.576266894815</v>
      </c>
      <c r="J34" s="23"/>
      <c r="K34" s="24"/>
      <c r="L34" s="34"/>
      <c r="M34" s="34"/>
      <c r="N34" s="34"/>
      <c r="O34" s="88"/>
      <c r="P34" s="34"/>
      <c r="Q34" s="34"/>
      <c r="R34" s="34"/>
      <c r="S34" s="34"/>
      <c r="T34" s="34"/>
      <c r="U34" s="78"/>
      <c r="Y34" s="12">
        <f t="shared" si="6"/>
        <v>1.4</v>
      </c>
      <c r="Z34" s="12">
        <f t="shared" si="6"/>
        <v>170204.77843999999</v>
      </c>
    </row>
    <row r="35" spans="1:26" s="11" customFormat="1" ht="32.25" customHeight="1">
      <c r="A35" s="99">
        <v>6</v>
      </c>
      <c r="B35" s="19" t="s">
        <v>29</v>
      </c>
      <c r="C35" s="21" t="s">
        <v>17</v>
      </c>
      <c r="D35" s="24">
        <v>2.9</v>
      </c>
      <c r="E35" s="23">
        <v>87020.69094</v>
      </c>
      <c r="F35" s="24">
        <f>D35</f>
        <v>2.9</v>
      </c>
      <c r="G35" s="23">
        <f>E35</f>
        <v>87020.69094</v>
      </c>
      <c r="H35" s="23">
        <f>G35*0.879999983231406</f>
        <v>76578.206567985369</v>
      </c>
      <c r="I35" s="23">
        <f>G35-H35</f>
        <v>10442.484372014631</v>
      </c>
      <c r="J35" s="23"/>
      <c r="K35" s="24"/>
      <c r="L35" s="34"/>
      <c r="M35" s="34"/>
      <c r="N35" s="34"/>
      <c r="O35" s="88"/>
      <c r="P35" s="34"/>
      <c r="Q35" s="34"/>
      <c r="R35" s="34"/>
      <c r="S35" s="34"/>
      <c r="T35" s="34"/>
      <c r="U35" s="78"/>
      <c r="Y35" s="12">
        <f t="shared" si="6"/>
        <v>2.9</v>
      </c>
      <c r="Z35" s="12">
        <f t="shared" si="6"/>
        <v>87020.69094</v>
      </c>
    </row>
    <row r="36" spans="1:26" s="11" customFormat="1" ht="45.75" customHeight="1">
      <c r="A36" s="99">
        <v>7</v>
      </c>
      <c r="B36" s="19" t="s">
        <v>127</v>
      </c>
      <c r="C36" s="21" t="s">
        <v>17</v>
      </c>
      <c r="D36" s="24">
        <v>7.3</v>
      </c>
      <c r="E36" s="23">
        <v>284385.40000000002</v>
      </c>
      <c r="F36" s="24"/>
      <c r="G36" s="23"/>
      <c r="H36" s="23"/>
      <c r="I36" s="23"/>
      <c r="J36" s="23"/>
      <c r="K36" s="24">
        <f>D36</f>
        <v>7.3</v>
      </c>
      <c r="L36" s="23">
        <f>E36</f>
        <v>284385.40000000002</v>
      </c>
      <c r="M36" s="23">
        <f>L36*0.819999994727603</f>
        <v>233196.02650060729</v>
      </c>
      <c r="N36" s="23">
        <f>L36-M36</f>
        <v>51189.373499392736</v>
      </c>
      <c r="O36" s="89"/>
      <c r="P36" s="23"/>
      <c r="Q36" s="23"/>
      <c r="R36" s="23"/>
      <c r="S36" s="23"/>
      <c r="T36" s="23"/>
      <c r="U36" s="79"/>
      <c r="Y36" s="12">
        <f t="shared" si="6"/>
        <v>7.3</v>
      </c>
      <c r="Z36" s="12">
        <f t="shared" si="6"/>
        <v>284385.40000000002</v>
      </c>
    </row>
    <row r="37" spans="1:26" s="11" customFormat="1" ht="87.75" customHeight="1">
      <c r="A37" s="99">
        <v>8</v>
      </c>
      <c r="B37" s="19" t="s">
        <v>132</v>
      </c>
      <c r="C37" s="21" t="s">
        <v>26</v>
      </c>
      <c r="D37" s="24">
        <f>(6.76-4.6)+(11.3-10.408)</f>
        <v>3.0520000000000014</v>
      </c>
      <c r="E37" s="23">
        <v>159369.61074999999</v>
      </c>
      <c r="F37" s="24">
        <f>D37</f>
        <v>3.0520000000000014</v>
      </c>
      <c r="G37" s="23">
        <f>E37</f>
        <v>159369.61074999999</v>
      </c>
      <c r="H37" s="23">
        <f>G37*0.879999983231406</f>
        <v>140245.25478759571</v>
      </c>
      <c r="I37" s="23">
        <f>G37-H37</f>
        <v>19124.355962404283</v>
      </c>
      <c r="J37" s="23"/>
      <c r="K37" s="24"/>
      <c r="L37" s="23"/>
      <c r="M37" s="23"/>
      <c r="N37" s="23"/>
      <c r="O37" s="89"/>
      <c r="P37" s="23"/>
      <c r="Q37" s="23"/>
      <c r="R37" s="23"/>
      <c r="S37" s="23"/>
      <c r="T37" s="23"/>
      <c r="U37" s="79"/>
      <c r="Y37" s="12">
        <f t="shared" si="6"/>
        <v>3.0520000000000014</v>
      </c>
      <c r="Z37" s="12">
        <f t="shared" si="6"/>
        <v>159369.61074999999</v>
      </c>
    </row>
    <row r="38" spans="1:26" s="11" customFormat="1" ht="47.25" customHeight="1">
      <c r="A38" s="99">
        <v>9</v>
      </c>
      <c r="B38" s="102" t="s">
        <v>138</v>
      </c>
      <c r="C38" s="71" t="s">
        <v>26</v>
      </c>
      <c r="D38" s="103">
        <v>2.7839999999999998</v>
      </c>
      <c r="E38" s="23">
        <v>208515.07858999999</v>
      </c>
      <c r="F38" s="104">
        <f>D38</f>
        <v>2.7839999999999998</v>
      </c>
      <c r="G38" s="23">
        <f>E38</f>
        <v>208515.07858999999</v>
      </c>
      <c r="H38" s="23">
        <f>G38*0.879999983231406</f>
        <v>183493.26566269531</v>
      </c>
      <c r="I38" s="23">
        <f>G38-H38</f>
        <v>25021.81292730468</v>
      </c>
      <c r="J38" s="23"/>
      <c r="K38" s="24"/>
      <c r="L38" s="23"/>
      <c r="M38" s="23"/>
      <c r="N38" s="23"/>
      <c r="O38" s="89"/>
      <c r="P38" s="23"/>
      <c r="Q38" s="23"/>
      <c r="R38" s="23"/>
      <c r="S38" s="23"/>
      <c r="T38" s="23"/>
      <c r="U38" s="79"/>
      <c r="Y38" s="12">
        <f t="shared" si="6"/>
        <v>2.7839999999999998</v>
      </c>
      <c r="Z38" s="12">
        <f t="shared" si="6"/>
        <v>208515.07858999999</v>
      </c>
    </row>
    <row r="39" spans="1:26" s="11" customFormat="1" ht="42" customHeight="1">
      <c r="A39" s="99">
        <v>10</v>
      </c>
      <c r="B39" s="19" t="s">
        <v>135</v>
      </c>
      <c r="C39" s="21" t="s">
        <v>26</v>
      </c>
      <c r="D39" s="24">
        <v>2.3040000000000003</v>
      </c>
      <c r="E39" s="23">
        <v>180009.34232000003</v>
      </c>
      <c r="F39" s="24"/>
      <c r="G39" s="23"/>
      <c r="H39" s="23"/>
      <c r="I39" s="23"/>
      <c r="J39" s="23"/>
      <c r="K39" s="24"/>
      <c r="L39" s="23"/>
      <c r="M39" s="23"/>
      <c r="N39" s="23"/>
      <c r="O39" s="89"/>
      <c r="P39" s="22">
        <f t="shared" ref="P39:Q41" si="13">D39</f>
        <v>2.3040000000000003</v>
      </c>
      <c r="Q39" s="23">
        <f t="shared" si="13"/>
        <v>180009.34232000003</v>
      </c>
      <c r="R39" s="23">
        <f>Q39*0.82</f>
        <v>147607.66070240003</v>
      </c>
      <c r="S39" s="23">
        <f>Q39-R39</f>
        <v>32401.681617599999</v>
      </c>
      <c r="T39" s="23"/>
      <c r="U39" s="79"/>
      <c r="W39" s="11" t="s">
        <v>35</v>
      </c>
      <c r="Y39" s="12">
        <f t="shared" si="6"/>
        <v>2.3040000000000003</v>
      </c>
      <c r="Z39" s="12">
        <f t="shared" si="6"/>
        <v>180009.34232000003</v>
      </c>
    </row>
    <row r="40" spans="1:26" s="11" customFormat="1" ht="45" customHeight="1">
      <c r="A40" s="99">
        <v>11</v>
      </c>
      <c r="B40" s="19" t="s">
        <v>136</v>
      </c>
      <c r="C40" s="21" t="s">
        <v>26</v>
      </c>
      <c r="D40" s="24">
        <f>17.8-9.65</f>
        <v>8.15</v>
      </c>
      <c r="E40" s="23">
        <f>D40*60000</f>
        <v>489000</v>
      </c>
      <c r="F40" s="24"/>
      <c r="G40" s="23"/>
      <c r="H40" s="23"/>
      <c r="I40" s="23"/>
      <c r="J40" s="23"/>
      <c r="K40" s="24"/>
      <c r="L40" s="23"/>
      <c r="M40" s="23"/>
      <c r="N40" s="23"/>
      <c r="O40" s="89"/>
      <c r="P40" s="22">
        <f t="shared" si="13"/>
        <v>8.15</v>
      </c>
      <c r="Q40" s="23">
        <f t="shared" si="13"/>
        <v>489000</v>
      </c>
      <c r="R40" s="23">
        <f>Q40*0.82</f>
        <v>400980</v>
      </c>
      <c r="S40" s="23">
        <f>Q40-R40</f>
        <v>88020</v>
      </c>
      <c r="T40" s="23"/>
      <c r="U40" s="79"/>
      <c r="Y40" s="12">
        <f t="shared" si="6"/>
        <v>8.15</v>
      </c>
      <c r="Z40" s="12">
        <f t="shared" si="6"/>
        <v>489000</v>
      </c>
    </row>
    <row r="41" spans="1:26" s="11" customFormat="1" ht="45" customHeight="1">
      <c r="A41" s="99">
        <v>12</v>
      </c>
      <c r="B41" s="19" t="s">
        <v>155</v>
      </c>
      <c r="C41" s="21" t="s">
        <v>26</v>
      </c>
      <c r="D41" s="24">
        <v>2.504</v>
      </c>
      <c r="E41" s="23">
        <v>200320</v>
      </c>
      <c r="F41" s="24"/>
      <c r="G41" s="23"/>
      <c r="H41" s="23"/>
      <c r="I41" s="23"/>
      <c r="J41" s="23"/>
      <c r="K41" s="24"/>
      <c r="L41" s="23"/>
      <c r="M41" s="23"/>
      <c r="N41" s="23"/>
      <c r="O41" s="89"/>
      <c r="P41" s="22">
        <f t="shared" si="13"/>
        <v>2.504</v>
      </c>
      <c r="Q41" s="23">
        <f t="shared" si="13"/>
        <v>200320</v>
      </c>
      <c r="R41" s="23">
        <v>164262.39999999999</v>
      </c>
      <c r="S41" s="23">
        <f>Q41-R41</f>
        <v>36057.600000000006</v>
      </c>
      <c r="T41" s="23"/>
      <c r="U41" s="79"/>
      <c r="Y41" s="12">
        <f t="shared" si="6"/>
        <v>2.504</v>
      </c>
      <c r="Z41" s="12">
        <f t="shared" si="6"/>
        <v>200320</v>
      </c>
    </row>
    <row r="42" spans="1:26" s="11" customFormat="1" ht="45" customHeight="1">
      <c r="A42" s="99">
        <v>13</v>
      </c>
      <c r="B42" s="19" t="s">
        <v>156</v>
      </c>
      <c r="C42" s="21" t="s">
        <v>17</v>
      </c>
      <c r="D42" s="24">
        <v>5.0999999999999996</v>
      </c>
      <c r="E42" s="23">
        <v>204000</v>
      </c>
      <c r="F42" s="24"/>
      <c r="G42" s="23"/>
      <c r="H42" s="23"/>
      <c r="I42" s="23"/>
      <c r="J42" s="23"/>
      <c r="K42" s="24">
        <f t="shared" ref="K42:L44" si="14">D42</f>
        <v>5.0999999999999996</v>
      </c>
      <c r="L42" s="23">
        <f t="shared" si="14"/>
        <v>204000</v>
      </c>
      <c r="M42" s="23">
        <f t="shared" ref="M42:M44" si="15">L42*0.819999994727603</f>
        <v>167279.99892443101</v>
      </c>
      <c r="N42" s="23">
        <f t="shared" ref="N42:N44" si="16">L42-M42</f>
        <v>36720.001075568987</v>
      </c>
      <c r="O42" s="89"/>
      <c r="P42" s="22"/>
      <c r="Q42" s="23"/>
      <c r="R42" s="23"/>
      <c r="S42" s="23"/>
      <c r="T42" s="23"/>
      <c r="U42" s="79"/>
      <c r="Y42" s="12">
        <f t="shared" si="6"/>
        <v>5.0999999999999996</v>
      </c>
      <c r="Z42" s="12">
        <f t="shared" si="6"/>
        <v>204000</v>
      </c>
    </row>
    <row r="43" spans="1:26" s="11" customFormat="1" ht="45" customHeight="1">
      <c r="A43" s="99">
        <v>14</v>
      </c>
      <c r="B43" s="19" t="s">
        <v>139</v>
      </c>
      <c r="C43" s="21" t="s">
        <v>26</v>
      </c>
      <c r="D43" s="24">
        <v>3.62</v>
      </c>
      <c r="E43" s="23">
        <f>D43*80000-1221.5057-0.17947+32896.2</f>
        <v>321274.51483000006</v>
      </c>
      <c r="F43" s="24"/>
      <c r="G43" s="23"/>
      <c r="H43" s="23"/>
      <c r="I43" s="23"/>
      <c r="J43" s="23"/>
      <c r="K43" s="24">
        <f t="shared" si="14"/>
        <v>3.62</v>
      </c>
      <c r="L43" s="23">
        <f t="shared" si="14"/>
        <v>321274.51483000006</v>
      </c>
      <c r="M43" s="23">
        <f t="shared" si="15"/>
        <v>263445.10046671325</v>
      </c>
      <c r="N43" s="23">
        <f t="shared" si="16"/>
        <v>57829.414363286807</v>
      </c>
      <c r="O43" s="89"/>
      <c r="P43" s="22"/>
      <c r="Q43" s="23"/>
      <c r="R43" s="23"/>
      <c r="S43" s="23"/>
      <c r="T43" s="23"/>
      <c r="U43" s="79"/>
      <c r="X43" s="11" t="s">
        <v>27</v>
      </c>
      <c r="Y43" s="12">
        <f t="shared" si="6"/>
        <v>3.62</v>
      </c>
      <c r="Z43" s="12">
        <f t="shared" si="6"/>
        <v>321274.51483000006</v>
      </c>
    </row>
    <row r="44" spans="1:26" s="11" customFormat="1" ht="45" customHeight="1">
      <c r="A44" s="99">
        <v>15</v>
      </c>
      <c r="B44" s="19" t="s">
        <v>140</v>
      </c>
      <c r="C44" s="7" t="s">
        <v>28</v>
      </c>
      <c r="D44" s="24">
        <v>4.1499999999999986</v>
      </c>
      <c r="E44" s="23">
        <v>165999.99999999994</v>
      </c>
      <c r="F44" s="24"/>
      <c r="G44" s="23"/>
      <c r="H44" s="23"/>
      <c r="I44" s="23"/>
      <c r="J44" s="23"/>
      <c r="K44" s="24">
        <f t="shared" si="14"/>
        <v>4.1499999999999986</v>
      </c>
      <c r="L44" s="23">
        <f t="shared" si="14"/>
        <v>165999.99999999994</v>
      </c>
      <c r="M44" s="23">
        <f t="shared" si="15"/>
        <v>136119.99912478204</v>
      </c>
      <c r="N44" s="23">
        <f t="shared" si="16"/>
        <v>29880.000875217898</v>
      </c>
      <c r="O44" s="89"/>
      <c r="P44" s="22"/>
      <c r="Q44" s="23"/>
      <c r="R44" s="23"/>
      <c r="S44" s="23"/>
      <c r="T44" s="23"/>
      <c r="U44" s="79"/>
      <c r="Y44" s="12">
        <f t="shared" si="6"/>
        <v>4.1499999999999986</v>
      </c>
      <c r="Z44" s="12">
        <f t="shared" si="6"/>
        <v>165999.99999999994</v>
      </c>
    </row>
    <row r="45" spans="1:26" s="11" customFormat="1" ht="29.25" customHeight="1">
      <c r="A45" s="112"/>
      <c r="B45" s="19" t="s">
        <v>31</v>
      </c>
      <c r="C45" s="21"/>
      <c r="D45" s="26">
        <f>SUBTOTAL(9,D34:D44)</f>
        <v>43.263999999999996</v>
      </c>
      <c r="E45" s="23">
        <f>SUBTOTAL(9,E34:E44)</f>
        <v>2470099.4158700001</v>
      </c>
      <c r="F45" s="28">
        <f>SUBTOTAL(9,F34:F40)</f>
        <v>10.136000000000001</v>
      </c>
      <c r="G45" s="23">
        <f>SUBTOTAL(9,G34:G40)</f>
        <v>625110.15871999995</v>
      </c>
      <c r="H45" s="23">
        <f t="shared" ref="H45:I45" si="17">SUBTOTAL(9,H34:H40)</f>
        <v>550096.92919138155</v>
      </c>
      <c r="I45" s="23">
        <f t="shared" si="17"/>
        <v>75013.229528618409</v>
      </c>
      <c r="J45" s="23"/>
      <c r="K45" s="28">
        <f>SUBTOTAL(9,K34:K44)</f>
        <v>20.169999999999998</v>
      </c>
      <c r="L45" s="23">
        <f t="shared" ref="L45:N45" si="18">SUBTOTAL(9,L34:L44)</f>
        <v>975659.91483000014</v>
      </c>
      <c r="M45" s="23">
        <f t="shared" si="18"/>
        <v>800041.12501653365</v>
      </c>
      <c r="N45" s="23">
        <f t="shared" si="18"/>
        <v>175618.78981346643</v>
      </c>
      <c r="O45" s="89"/>
      <c r="P45" s="23">
        <f>P39+P40+P41</f>
        <v>12.958</v>
      </c>
      <c r="Q45" s="23">
        <f t="shared" ref="Q45:S45" si="19">Q39+Q40+Q41</f>
        <v>869329.34232000005</v>
      </c>
      <c r="R45" s="23">
        <f t="shared" si="19"/>
        <v>712850.06070240005</v>
      </c>
      <c r="S45" s="23">
        <f t="shared" si="19"/>
        <v>156479.28161760001</v>
      </c>
      <c r="T45" s="23"/>
      <c r="U45" s="79"/>
      <c r="Y45" s="12">
        <f t="shared" si="6"/>
        <v>43.263999999999996</v>
      </c>
      <c r="Z45" s="12">
        <f t="shared" si="6"/>
        <v>2470099.4158700001</v>
      </c>
    </row>
    <row r="46" spans="1:26" s="11" customFormat="1" ht="28.5" customHeight="1">
      <c r="A46" s="112"/>
      <c r="B46" s="19" t="s">
        <v>32</v>
      </c>
      <c r="C46" s="21"/>
      <c r="D46" s="26">
        <f>F46+K46+P46</f>
        <v>3.99</v>
      </c>
      <c r="E46" s="23">
        <f>G46+L46+Q46</f>
        <v>107777.1</v>
      </c>
      <c r="F46" s="23">
        <v>2.68</v>
      </c>
      <c r="G46" s="23">
        <v>77853.2</v>
      </c>
      <c r="H46" s="23">
        <v>64400.170348799998</v>
      </c>
      <c r="I46" s="23">
        <f>G46-H46-J46</f>
        <v>8781.9296511999983</v>
      </c>
      <c r="J46" s="23">
        <v>4671.1000000000004</v>
      </c>
      <c r="K46" s="28">
        <v>1.31</v>
      </c>
      <c r="L46" s="23">
        <v>29923.9</v>
      </c>
      <c r="M46" s="23">
        <v>23065.4</v>
      </c>
      <c r="N46" s="23">
        <f>L46-M46-O46</f>
        <v>5063.1000000000004</v>
      </c>
      <c r="O46" s="89">
        <v>1795.4</v>
      </c>
      <c r="P46" s="23"/>
      <c r="Q46" s="23"/>
      <c r="R46" s="23"/>
      <c r="S46" s="23"/>
      <c r="T46" s="23"/>
      <c r="U46" s="79"/>
      <c r="Y46" s="12">
        <f t="shared" si="6"/>
        <v>3.99</v>
      </c>
      <c r="Z46" s="12">
        <f t="shared" si="6"/>
        <v>107777.1</v>
      </c>
    </row>
    <row r="47" spans="1:26" s="11" customFormat="1" ht="29.25" customHeight="1">
      <c r="A47" s="126" t="s">
        <v>70</v>
      </c>
      <c r="B47" s="126"/>
      <c r="C47" s="126"/>
      <c r="D47" s="27">
        <f>D45+D46</f>
        <v>47.253999999999998</v>
      </c>
      <c r="E47" s="42">
        <f t="shared" ref="E47:T47" si="20">E45+E46</f>
        <v>2577876.5158700002</v>
      </c>
      <c r="F47" s="27">
        <f t="shared" si="20"/>
        <v>12.816000000000001</v>
      </c>
      <c r="G47" s="42">
        <f t="shared" si="20"/>
        <v>702963.3587199999</v>
      </c>
      <c r="H47" s="42">
        <f t="shared" si="20"/>
        <v>614497.09954018157</v>
      </c>
      <c r="I47" s="42">
        <f t="shared" si="20"/>
        <v>83795.159179818409</v>
      </c>
      <c r="J47" s="42">
        <f t="shared" si="20"/>
        <v>4671.1000000000004</v>
      </c>
      <c r="K47" s="27">
        <f t="shared" si="20"/>
        <v>21.479999999999997</v>
      </c>
      <c r="L47" s="42">
        <f t="shared" si="20"/>
        <v>1005583.8148300002</v>
      </c>
      <c r="M47" s="42">
        <f t="shared" si="20"/>
        <v>823106.52501653368</v>
      </c>
      <c r="N47" s="42">
        <f t="shared" si="20"/>
        <v>180681.88981346643</v>
      </c>
      <c r="O47" s="87">
        <f t="shared" si="20"/>
        <v>1795.4</v>
      </c>
      <c r="P47" s="27">
        <f>P45+P46</f>
        <v>12.958</v>
      </c>
      <c r="Q47" s="42">
        <f t="shared" si="20"/>
        <v>869329.34232000005</v>
      </c>
      <c r="R47" s="42">
        <f t="shared" si="20"/>
        <v>712850.06070240005</v>
      </c>
      <c r="S47" s="42">
        <f t="shared" si="20"/>
        <v>156479.28161760001</v>
      </c>
      <c r="T47" s="42">
        <f t="shared" si="20"/>
        <v>0</v>
      </c>
      <c r="U47" s="79">
        <f>F47+K47+P47</f>
        <v>47.253999999999998</v>
      </c>
      <c r="V47" s="12">
        <f>G47+L47+Q47</f>
        <v>2577876.5158700002</v>
      </c>
      <c r="Y47" s="12">
        <f t="shared" si="6"/>
        <v>47.253999999999998</v>
      </c>
      <c r="Z47" s="12">
        <f t="shared" si="6"/>
        <v>2577876.5158700002</v>
      </c>
    </row>
    <row r="48" spans="1:26" s="11" customFormat="1" ht="27.75" customHeight="1">
      <c r="A48" s="126" t="s">
        <v>71</v>
      </c>
      <c r="B48" s="126"/>
      <c r="C48" s="126"/>
      <c r="D48" s="24"/>
      <c r="E48" s="42"/>
      <c r="F48" s="23"/>
      <c r="G48" s="23"/>
      <c r="H48" s="23"/>
      <c r="I48" s="23"/>
      <c r="J48" s="23"/>
      <c r="K48" s="45"/>
      <c r="L48" s="34"/>
      <c r="M48" s="34"/>
      <c r="N48" s="34"/>
      <c r="O48" s="88"/>
      <c r="P48" s="34"/>
      <c r="Q48" s="34"/>
      <c r="R48" s="34"/>
      <c r="S48" s="34"/>
      <c r="T48" s="34"/>
      <c r="U48" s="78"/>
      <c r="Y48" s="12">
        <f t="shared" si="6"/>
        <v>0</v>
      </c>
      <c r="Z48" s="12">
        <f t="shared" si="6"/>
        <v>0</v>
      </c>
    </row>
    <row r="49" spans="1:26" s="11" customFormat="1" ht="49.5" customHeight="1">
      <c r="A49" s="99">
        <v>16</v>
      </c>
      <c r="B49" s="19" t="s">
        <v>64</v>
      </c>
      <c r="C49" s="7" t="s">
        <v>17</v>
      </c>
      <c r="D49" s="24">
        <v>3.5</v>
      </c>
      <c r="E49" s="23">
        <v>144889.48271000001</v>
      </c>
      <c r="F49" s="22">
        <f>D49</f>
        <v>3.5</v>
      </c>
      <c r="G49" s="23">
        <f>E49</f>
        <v>144889.48271000001</v>
      </c>
      <c r="H49" s="23">
        <f t="shared" ref="H49:H50" si="21">G49*0.879999983231406</f>
        <v>127502.74235520711</v>
      </c>
      <c r="I49" s="23">
        <f>G49-H49</f>
        <v>17386.740354792899</v>
      </c>
      <c r="J49" s="23"/>
      <c r="K49" s="45"/>
      <c r="L49" s="34"/>
      <c r="M49" s="34"/>
      <c r="N49" s="34"/>
      <c r="O49" s="88"/>
      <c r="P49" s="22"/>
      <c r="Q49" s="23"/>
      <c r="R49" s="23"/>
      <c r="S49" s="23"/>
      <c r="T49" s="23"/>
      <c r="U49" s="78"/>
      <c r="Y49" s="12">
        <f t="shared" si="6"/>
        <v>3.5</v>
      </c>
      <c r="Z49" s="12">
        <f t="shared" si="6"/>
        <v>144889.48271000001</v>
      </c>
    </row>
    <row r="50" spans="1:26" s="11" customFormat="1" ht="49.5" customHeight="1">
      <c r="A50" s="99">
        <v>17</v>
      </c>
      <c r="B50" s="19" t="s">
        <v>109</v>
      </c>
      <c r="C50" s="7" t="s">
        <v>17</v>
      </c>
      <c r="D50" s="24">
        <v>4.2</v>
      </c>
      <c r="E50" s="23">
        <v>120000</v>
      </c>
      <c r="F50" s="22"/>
      <c r="G50" s="23">
        <f>41480.1970399999+1907.78064+4630.38925</f>
        <v>48018.366929999895</v>
      </c>
      <c r="H50" s="23">
        <f t="shared" si="21"/>
        <v>42256.162093199411</v>
      </c>
      <c r="I50" s="23">
        <f>G50-H50</f>
        <v>5762.2048368004835</v>
      </c>
      <c r="J50" s="23"/>
      <c r="K50" s="22">
        <f>D50</f>
        <v>4.2</v>
      </c>
      <c r="L50" s="23">
        <f>E50-G50</f>
        <v>71981.633070000098</v>
      </c>
      <c r="M50" s="23">
        <f t="shared" ref="M50" si="22">L50*0.819999994727603</f>
        <v>59024.938737884331</v>
      </c>
      <c r="N50" s="23">
        <f>L50-M50</f>
        <v>12956.694332115767</v>
      </c>
      <c r="O50" s="88"/>
      <c r="P50" s="22"/>
      <c r="Q50" s="23"/>
      <c r="R50" s="23"/>
      <c r="S50" s="23"/>
      <c r="T50" s="23"/>
      <c r="U50" s="78"/>
      <c r="Y50" s="12"/>
      <c r="Z50" s="12"/>
    </row>
    <row r="51" spans="1:26" s="11" customFormat="1" ht="42" customHeight="1">
      <c r="A51" s="99">
        <v>18</v>
      </c>
      <c r="B51" s="19" t="s">
        <v>122</v>
      </c>
      <c r="C51" s="7" t="s">
        <v>28</v>
      </c>
      <c r="D51" s="24">
        <v>7.5519999999999996</v>
      </c>
      <c r="E51" s="23">
        <v>302080</v>
      </c>
      <c r="F51" s="22"/>
      <c r="G51" s="23"/>
      <c r="H51" s="23"/>
      <c r="I51" s="23"/>
      <c r="J51" s="23"/>
      <c r="K51" s="22">
        <f>D51</f>
        <v>7.5519999999999996</v>
      </c>
      <c r="L51" s="23">
        <f>E51</f>
        <v>302080</v>
      </c>
      <c r="M51" s="23">
        <f t="shared" ref="M51:M52" si="23">L51*0.819999994727603</f>
        <v>247705.5984073143</v>
      </c>
      <c r="N51" s="23">
        <f>L51-M51</f>
        <v>54374.401592685696</v>
      </c>
      <c r="O51" s="88"/>
      <c r="P51" s="34"/>
      <c r="Q51" s="34"/>
      <c r="R51" s="34"/>
      <c r="S51" s="34"/>
      <c r="T51" s="34"/>
      <c r="U51" s="78"/>
      <c r="Y51" s="12">
        <f t="shared" si="6"/>
        <v>7.5519999999999996</v>
      </c>
      <c r="Z51" s="12">
        <f t="shared" si="6"/>
        <v>302080</v>
      </c>
    </row>
    <row r="52" spans="1:26" s="11" customFormat="1" ht="42" customHeight="1">
      <c r="A52" s="99">
        <v>19</v>
      </c>
      <c r="B52" s="19" t="s">
        <v>158</v>
      </c>
      <c r="C52" s="21" t="s">
        <v>19</v>
      </c>
      <c r="D52" s="24">
        <v>1.8</v>
      </c>
      <c r="E52" s="23">
        <v>63000</v>
      </c>
      <c r="F52" s="22"/>
      <c r="G52" s="23"/>
      <c r="H52" s="23"/>
      <c r="I52" s="23"/>
      <c r="J52" s="23"/>
      <c r="K52" s="22">
        <f>D52</f>
        <v>1.8</v>
      </c>
      <c r="L52" s="23">
        <f>E52</f>
        <v>63000</v>
      </c>
      <c r="M52" s="23">
        <f t="shared" si="23"/>
        <v>51659.999667838987</v>
      </c>
      <c r="N52" s="23">
        <f>L52-M52</f>
        <v>11340.000332161013</v>
      </c>
      <c r="O52" s="88"/>
      <c r="P52" s="34"/>
      <c r="Q52" s="34"/>
      <c r="R52" s="34"/>
      <c r="S52" s="34"/>
      <c r="T52" s="34"/>
      <c r="U52" s="78"/>
      <c r="Y52" s="12">
        <f t="shared" si="6"/>
        <v>1.8</v>
      </c>
      <c r="Z52" s="12">
        <f t="shared" si="6"/>
        <v>63000</v>
      </c>
    </row>
    <row r="53" spans="1:26" s="11" customFormat="1" ht="30" customHeight="1">
      <c r="A53" s="100"/>
      <c r="B53" s="19" t="s">
        <v>31</v>
      </c>
      <c r="C53" s="21"/>
      <c r="D53" s="28">
        <f>SUBTOTAL(9,D49:D52)</f>
        <v>17.052</v>
      </c>
      <c r="E53" s="28">
        <f>SUBTOTAL(9,E49:E52)</f>
        <v>629969.48271000001</v>
      </c>
      <c r="F53" s="28">
        <f t="shared" ref="F53:I53" si="24">SUM(F49:F51)</f>
        <v>3.5</v>
      </c>
      <c r="G53" s="28">
        <f>SUBTOTAL(9,G49:G52)</f>
        <v>192907.84963999991</v>
      </c>
      <c r="H53" s="28">
        <f t="shared" si="24"/>
        <v>169758.90444840654</v>
      </c>
      <c r="I53" s="28">
        <f t="shared" si="24"/>
        <v>23148.945191593382</v>
      </c>
      <c r="J53" s="28"/>
      <c r="K53" s="28">
        <f>SUBTOTAL(9,K50:K52)</f>
        <v>13.552</v>
      </c>
      <c r="L53" s="28">
        <f>SUBTOTAL(9,L50:L52)</f>
        <v>437061.6330700001</v>
      </c>
      <c r="M53" s="28">
        <f>SUBTOTAL(9,M50:M52)</f>
        <v>358390.53681303759</v>
      </c>
      <c r="N53" s="28">
        <f>SUBTOTAL(9,N50:N52)</f>
        <v>78671.096256962468</v>
      </c>
      <c r="O53" s="88"/>
      <c r="P53" s="34"/>
      <c r="Q53" s="34"/>
      <c r="R53" s="34"/>
      <c r="S53" s="34"/>
      <c r="T53" s="34"/>
      <c r="U53" s="78"/>
      <c r="Y53" s="12">
        <f t="shared" si="6"/>
        <v>17.052</v>
      </c>
      <c r="Z53" s="12">
        <f t="shared" si="6"/>
        <v>629969.48271000001</v>
      </c>
    </row>
    <row r="54" spans="1:26" s="11" customFormat="1" ht="30" customHeight="1">
      <c r="A54" s="100"/>
      <c r="B54" s="19" t="s">
        <v>32</v>
      </c>
      <c r="C54" s="21"/>
      <c r="D54" s="26">
        <f>F54+K54+P54</f>
        <v>7.9189999999999996</v>
      </c>
      <c r="E54" s="23">
        <f>G54+L54+Q54</f>
        <v>122191.20209999999</v>
      </c>
      <c r="F54" s="23"/>
      <c r="G54" s="23"/>
      <c r="H54" s="23"/>
      <c r="I54" s="23"/>
      <c r="J54" s="23"/>
      <c r="K54" s="45"/>
      <c r="L54" s="34"/>
      <c r="M54" s="34"/>
      <c r="N54" s="34"/>
      <c r="O54" s="88"/>
      <c r="P54" s="23">
        <v>7.9189999999999996</v>
      </c>
      <c r="Q54" s="23">
        <v>122191.20209999999</v>
      </c>
      <c r="R54" s="23">
        <v>95186.9</v>
      </c>
      <c r="S54" s="23">
        <f>Q54-R54-T54</f>
        <v>20894.741995</v>
      </c>
      <c r="T54" s="23">
        <v>6109.5601049999996</v>
      </c>
      <c r="U54" s="78"/>
      <c r="Y54" s="12">
        <f t="shared" si="6"/>
        <v>7.9189999999999996</v>
      </c>
      <c r="Z54" s="12">
        <f t="shared" si="6"/>
        <v>122191.20209999999</v>
      </c>
    </row>
    <row r="55" spans="1:26" s="11" customFormat="1" ht="34.5" customHeight="1">
      <c r="A55" s="126" t="s">
        <v>72</v>
      </c>
      <c r="B55" s="126"/>
      <c r="C55" s="126"/>
      <c r="D55" s="27">
        <f>SUM(D53:D54)</f>
        <v>24.971</v>
      </c>
      <c r="E55" s="42">
        <f>SUM(E53:E54)</f>
        <v>752160.68481000001</v>
      </c>
      <c r="F55" s="27">
        <f>SUM(F53:F54)</f>
        <v>3.5</v>
      </c>
      <c r="G55" s="42">
        <f t="shared" ref="G55:I55" si="25">SUM(G53:G54)</f>
        <v>192907.84963999991</v>
      </c>
      <c r="H55" s="42">
        <f t="shared" si="25"/>
        <v>169758.90444840654</v>
      </c>
      <c r="I55" s="42">
        <f t="shared" si="25"/>
        <v>23148.945191593382</v>
      </c>
      <c r="J55" s="42"/>
      <c r="K55" s="27">
        <f>SUM(K53:K54)</f>
        <v>13.552</v>
      </c>
      <c r="L55" s="42">
        <f t="shared" ref="L55:N55" si="26">SUM(L53:L54)</f>
        <v>437061.6330700001</v>
      </c>
      <c r="M55" s="42">
        <f t="shared" si="26"/>
        <v>358390.53681303759</v>
      </c>
      <c r="N55" s="42">
        <f t="shared" si="26"/>
        <v>78671.096256962468</v>
      </c>
      <c r="O55" s="87"/>
      <c r="P55" s="27">
        <f>SUM(P53:P54)</f>
        <v>7.9189999999999996</v>
      </c>
      <c r="Q55" s="42">
        <f t="shared" ref="Q55:T55" si="27">SUM(Q53:Q54)</f>
        <v>122191.20209999999</v>
      </c>
      <c r="R55" s="42">
        <f t="shared" si="27"/>
        <v>95186.9</v>
      </c>
      <c r="S55" s="42">
        <f t="shared" si="27"/>
        <v>20894.741995</v>
      </c>
      <c r="T55" s="42">
        <f t="shared" si="27"/>
        <v>6109.5601049999996</v>
      </c>
      <c r="U55" s="79">
        <f>F55+K55+P55</f>
        <v>24.971</v>
      </c>
      <c r="V55" s="12">
        <f>G55+L55+Q55</f>
        <v>752160.68481000001</v>
      </c>
      <c r="Y55" s="12">
        <f t="shared" si="6"/>
        <v>24.971</v>
      </c>
      <c r="Z55" s="12">
        <f t="shared" si="6"/>
        <v>752160.68481000001</v>
      </c>
    </row>
    <row r="56" spans="1:26" s="11" customFormat="1" ht="30" customHeight="1">
      <c r="A56" s="126" t="s">
        <v>33</v>
      </c>
      <c r="B56" s="126"/>
      <c r="C56" s="126"/>
      <c r="D56" s="24"/>
      <c r="E56" s="42"/>
      <c r="F56" s="23"/>
      <c r="G56" s="23"/>
      <c r="H56" s="23"/>
      <c r="I56" s="23"/>
      <c r="J56" s="23"/>
      <c r="K56" s="45"/>
      <c r="L56" s="34"/>
      <c r="M56" s="34"/>
      <c r="N56" s="34"/>
      <c r="O56" s="88"/>
      <c r="P56" s="34"/>
      <c r="Q56" s="34"/>
      <c r="R56" s="34"/>
      <c r="S56" s="34"/>
      <c r="T56" s="34"/>
      <c r="U56" s="78"/>
      <c r="Y56" s="12">
        <f t="shared" si="6"/>
        <v>0</v>
      </c>
      <c r="Z56" s="12">
        <f t="shared" si="6"/>
        <v>0</v>
      </c>
    </row>
    <row r="57" spans="1:26" s="11" customFormat="1" ht="47.25" customHeight="1">
      <c r="A57" s="99">
        <v>20</v>
      </c>
      <c r="B57" s="19" t="s">
        <v>36</v>
      </c>
      <c r="C57" s="21" t="s">
        <v>19</v>
      </c>
      <c r="D57" s="24">
        <v>1.6</v>
      </c>
      <c r="E57" s="23">
        <f>37589.7775*1.041</f>
        <v>39130.958377499992</v>
      </c>
      <c r="F57" s="22"/>
      <c r="G57" s="23" t="s">
        <v>30</v>
      </c>
      <c r="H57" s="23"/>
      <c r="I57" s="23"/>
      <c r="J57" s="23"/>
      <c r="K57" s="22">
        <f t="shared" ref="K57:L59" si="28">D57</f>
        <v>1.6</v>
      </c>
      <c r="L57" s="23">
        <f t="shared" si="28"/>
        <v>39130.958377499992</v>
      </c>
      <c r="M57" s="23">
        <f t="shared" ref="M57:M59" si="29">L57*0.819999994727603</f>
        <v>32087.385663236044</v>
      </c>
      <c r="N57" s="23">
        <f>L57-M57</f>
        <v>7043.572714263948</v>
      </c>
      <c r="O57" s="89"/>
      <c r="P57" s="23"/>
      <c r="Q57" s="23"/>
      <c r="R57" s="23"/>
      <c r="S57" s="23"/>
      <c r="T57" s="23"/>
      <c r="U57" s="79"/>
      <c r="Y57" s="12">
        <f t="shared" si="6"/>
        <v>1.6</v>
      </c>
      <c r="Z57" s="12" t="e">
        <f t="shared" si="6"/>
        <v>#VALUE!</v>
      </c>
    </row>
    <row r="58" spans="1:26" s="11" customFormat="1" ht="54.75" customHeight="1">
      <c r="A58" s="99">
        <v>21</v>
      </c>
      <c r="B58" s="19" t="s">
        <v>159</v>
      </c>
      <c r="C58" s="21" t="s">
        <v>17</v>
      </c>
      <c r="D58" s="24">
        <v>8.9</v>
      </c>
      <c r="E58" s="23">
        <v>316449.65314000001</v>
      </c>
      <c r="F58" s="22"/>
      <c r="G58" s="23"/>
      <c r="H58" s="23"/>
      <c r="I58" s="23"/>
      <c r="J58" s="23"/>
      <c r="K58" s="22">
        <f t="shared" si="28"/>
        <v>8.9</v>
      </c>
      <c r="L58" s="23">
        <v>316449.65314000001</v>
      </c>
      <c r="M58" s="23">
        <f t="shared" si="29"/>
        <v>259488.7139063518</v>
      </c>
      <c r="N58" s="23">
        <f>L58-M58</f>
        <v>56960.939233648212</v>
      </c>
      <c r="O58" s="88"/>
      <c r="P58" s="34"/>
      <c r="Q58" s="34"/>
      <c r="R58" s="34"/>
      <c r="S58" s="34"/>
      <c r="T58" s="34"/>
      <c r="U58" s="78"/>
      <c r="Y58" s="12">
        <f t="shared" si="6"/>
        <v>8.9</v>
      </c>
      <c r="Z58" s="12">
        <f t="shared" si="6"/>
        <v>316449.65314000001</v>
      </c>
    </row>
    <row r="59" spans="1:26" s="11" customFormat="1" ht="42.75" customHeight="1">
      <c r="A59" s="99">
        <v>22</v>
      </c>
      <c r="B59" s="19" t="s">
        <v>128</v>
      </c>
      <c r="C59" s="21" t="s">
        <v>17</v>
      </c>
      <c r="D59" s="24">
        <v>12.579999999999998</v>
      </c>
      <c r="E59" s="23">
        <v>422380.65314000001</v>
      </c>
      <c r="F59" s="22"/>
      <c r="G59" s="23"/>
      <c r="H59" s="23"/>
      <c r="I59" s="23"/>
      <c r="J59" s="23"/>
      <c r="K59" s="22">
        <f t="shared" si="28"/>
        <v>12.579999999999998</v>
      </c>
      <c r="L59" s="23">
        <f t="shared" si="28"/>
        <v>422380.65314000001</v>
      </c>
      <c r="M59" s="23">
        <f t="shared" si="29"/>
        <v>346352.1333478415</v>
      </c>
      <c r="N59" s="23">
        <f>L59-M59</f>
        <v>76028.519792158506</v>
      </c>
      <c r="O59" s="88"/>
      <c r="P59" s="34"/>
      <c r="Q59" s="34"/>
      <c r="R59" s="34"/>
      <c r="S59" s="34"/>
      <c r="T59" s="34"/>
      <c r="U59" s="78"/>
      <c r="Y59" s="12">
        <f t="shared" si="6"/>
        <v>12.579999999999998</v>
      </c>
      <c r="Z59" s="12">
        <f t="shared" si="6"/>
        <v>422380.65314000001</v>
      </c>
    </row>
    <row r="60" spans="1:26" s="11" customFormat="1" ht="88.5" customHeight="1">
      <c r="A60" s="99">
        <v>23</v>
      </c>
      <c r="B60" s="102" t="s">
        <v>160</v>
      </c>
      <c r="C60" s="105" t="s">
        <v>17</v>
      </c>
      <c r="D60" s="24">
        <v>3.9</v>
      </c>
      <c r="E60" s="23">
        <v>107000</v>
      </c>
      <c r="F60" s="22">
        <f>D60</f>
        <v>3.9</v>
      </c>
      <c r="G60" s="23">
        <f>E60</f>
        <v>107000</v>
      </c>
      <c r="H60" s="23">
        <f t="shared" ref="H60" si="30">G60*0.879999983231406</f>
        <v>94159.99820576045</v>
      </c>
      <c r="I60" s="23">
        <f>G60-H60</f>
        <v>12840.00179423955</v>
      </c>
      <c r="J60" s="23"/>
      <c r="K60" s="22"/>
      <c r="L60" s="23"/>
      <c r="M60" s="23"/>
      <c r="N60" s="23"/>
      <c r="O60" s="88"/>
      <c r="P60" s="34"/>
      <c r="Q60" s="34"/>
      <c r="R60" s="34"/>
      <c r="S60" s="34"/>
      <c r="T60" s="34"/>
      <c r="U60" s="78"/>
      <c r="Y60" s="12">
        <f t="shared" si="6"/>
        <v>3.9</v>
      </c>
      <c r="Z60" s="12">
        <f t="shared" si="6"/>
        <v>107000</v>
      </c>
    </row>
    <row r="61" spans="1:26" s="11" customFormat="1" ht="45" customHeight="1">
      <c r="A61" s="99">
        <v>24</v>
      </c>
      <c r="B61" s="19" t="s">
        <v>117</v>
      </c>
      <c r="C61" s="21" t="s">
        <v>17</v>
      </c>
      <c r="D61" s="24">
        <v>22</v>
      </c>
      <c r="E61" s="23">
        <v>603840.80000000005</v>
      </c>
      <c r="F61" s="22"/>
      <c r="G61" s="23"/>
      <c r="H61" s="23"/>
      <c r="I61" s="23"/>
      <c r="J61" s="23"/>
      <c r="K61" s="22"/>
      <c r="L61" s="23"/>
      <c r="M61" s="23"/>
      <c r="N61" s="23"/>
      <c r="O61" s="88"/>
      <c r="P61" s="22">
        <f>D61</f>
        <v>22</v>
      </c>
      <c r="Q61" s="23">
        <f>E61</f>
        <v>603840.80000000005</v>
      </c>
      <c r="R61" s="23">
        <f>Q61*0.82</f>
        <v>495149.45600000001</v>
      </c>
      <c r="S61" s="23">
        <f>Q61-R61</f>
        <v>108691.34400000004</v>
      </c>
      <c r="T61" s="34"/>
      <c r="U61" s="78"/>
      <c r="Y61" s="12">
        <f t="shared" si="6"/>
        <v>22</v>
      </c>
      <c r="Z61" s="12">
        <f t="shared" si="6"/>
        <v>603840.80000000005</v>
      </c>
    </row>
    <row r="62" spans="1:26" s="11" customFormat="1" ht="45" customHeight="1">
      <c r="A62" s="99">
        <v>25</v>
      </c>
      <c r="B62" s="19" t="s">
        <v>118</v>
      </c>
      <c r="C62" s="21" t="s">
        <v>17</v>
      </c>
      <c r="D62" s="24">
        <v>5.75</v>
      </c>
      <c r="E62" s="23">
        <v>137910.79999999999</v>
      </c>
      <c r="F62" s="22"/>
      <c r="G62" s="23"/>
      <c r="H62" s="23"/>
      <c r="I62" s="23"/>
      <c r="J62" s="23"/>
      <c r="K62" s="22"/>
      <c r="L62" s="23"/>
      <c r="M62" s="23"/>
      <c r="N62" s="23"/>
      <c r="O62" s="88"/>
      <c r="P62" s="22">
        <f>D62</f>
        <v>5.75</v>
      </c>
      <c r="Q62" s="23">
        <f>E62</f>
        <v>137910.79999999999</v>
      </c>
      <c r="R62" s="23">
        <f>Q62*0.82</f>
        <v>113086.85599999999</v>
      </c>
      <c r="S62" s="23">
        <f>Q62-R62</f>
        <v>24823.944000000003</v>
      </c>
      <c r="T62" s="34"/>
      <c r="U62" s="78"/>
      <c r="V62" s="11" t="s">
        <v>46</v>
      </c>
      <c r="Y62" s="12">
        <f t="shared" si="6"/>
        <v>5.75</v>
      </c>
      <c r="Z62" s="12">
        <f t="shared" si="6"/>
        <v>137910.79999999999</v>
      </c>
    </row>
    <row r="63" spans="1:26" s="11" customFormat="1" ht="30" customHeight="1">
      <c r="A63" s="100"/>
      <c r="B63" s="19" t="s">
        <v>31</v>
      </c>
      <c r="C63" s="21"/>
      <c r="D63" s="28">
        <f>SUM(D57:D62)</f>
        <v>54.73</v>
      </c>
      <c r="E63" s="28">
        <f>SUM(E57:E62)</f>
        <v>1626712.8646575001</v>
      </c>
      <c r="F63" s="28">
        <f>SUM(F57:F62)</f>
        <v>3.9</v>
      </c>
      <c r="G63" s="28">
        <f>SUM(G57:G62)</f>
        <v>107000</v>
      </c>
      <c r="H63" s="28">
        <f t="shared" ref="H63:I63" si="31">SUM(H57:H62)</f>
        <v>94159.99820576045</v>
      </c>
      <c r="I63" s="28">
        <f t="shared" si="31"/>
        <v>12840.00179423955</v>
      </c>
      <c r="J63" s="28"/>
      <c r="K63" s="28">
        <f>SUM(K57:K59)</f>
        <v>23.08</v>
      </c>
      <c r="L63" s="28">
        <f>SUM(L57:L59)</f>
        <v>777961.26465749997</v>
      </c>
      <c r="M63" s="28">
        <f>SUM(M57:M59)</f>
        <v>637928.23291742941</v>
      </c>
      <c r="N63" s="28">
        <f>SUM(N57:N59)</f>
        <v>140033.03174007067</v>
      </c>
      <c r="O63" s="88"/>
      <c r="P63" s="23">
        <f>SUM(P61:P62)</f>
        <v>27.75</v>
      </c>
      <c r="Q63" s="23">
        <f>SUM(Q61:Q62)</f>
        <v>741751.60000000009</v>
      </c>
      <c r="R63" s="23">
        <f t="shared" ref="R63:S63" si="32">SUM(R61:R62)</f>
        <v>608236.31200000003</v>
      </c>
      <c r="S63" s="23">
        <f t="shared" si="32"/>
        <v>133515.28800000006</v>
      </c>
      <c r="T63" s="34"/>
      <c r="U63" s="78"/>
      <c r="Y63" s="12">
        <f t="shared" si="6"/>
        <v>54.73</v>
      </c>
      <c r="Z63" s="12">
        <f t="shared" si="6"/>
        <v>1626712.8646575001</v>
      </c>
    </row>
    <row r="64" spans="1:26" s="11" customFormat="1" ht="27.75" customHeight="1">
      <c r="A64" s="100"/>
      <c r="B64" s="19" t="s">
        <v>32</v>
      </c>
      <c r="C64" s="21"/>
      <c r="D64" s="26">
        <f>F64+K64+P64</f>
        <v>13.715</v>
      </c>
      <c r="E64" s="23">
        <f>G64+L64+Q64</f>
        <v>293819.13699999999</v>
      </c>
      <c r="F64" s="23">
        <f>0.75+1.52</f>
        <v>2.27</v>
      </c>
      <c r="G64" s="23">
        <f>18184.4+36683.8</f>
        <v>54868.200000000004</v>
      </c>
      <c r="H64" s="23">
        <v>45387.1</v>
      </c>
      <c r="I64" s="23">
        <f>G64-H64-J64</f>
        <v>6188.2000000000062</v>
      </c>
      <c r="J64" s="23">
        <v>3292.9</v>
      </c>
      <c r="K64" s="28">
        <v>9.5150000000000006</v>
      </c>
      <c r="L64" s="28">
        <v>199283.5</v>
      </c>
      <c r="M64" s="28">
        <v>153607.70000000001</v>
      </c>
      <c r="N64" s="28">
        <f>L64-M64-O64</f>
        <v>33718.799999999988</v>
      </c>
      <c r="O64" s="92">
        <v>11957</v>
      </c>
      <c r="P64" s="23">
        <v>1.93</v>
      </c>
      <c r="Q64" s="23">
        <v>39667.437000000005</v>
      </c>
      <c r="R64" s="23">
        <v>30575.7</v>
      </c>
      <c r="S64" s="23">
        <f>Q64-R64-T64</f>
        <v>6711.6907800000008</v>
      </c>
      <c r="T64" s="23">
        <v>2380.0462200000038</v>
      </c>
      <c r="U64" s="82"/>
      <c r="Y64" s="12">
        <f t="shared" si="6"/>
        <v>13.715</v>
      </c>
      <c r="Z64" s="12">
        <f t="shared" si="6"/>
        <v>293819.13699999999</v>
      </c>
    </row>
    <row r="65" spans="1:26" s="11" customFormat="1" ht="31.5" customHeight="1">
      <c r="A65" s="134" t="s">
        <v>37</v>
      </c>
      <c r="B65" s="134"/>
      <c r="C65" s="134"/>
      <c r="D65" s="27">
        <f>D63+D64</f>
        <v>68.444999999999993</v>
      </c>
      <c r="E65" s="42">
        <f>E63+E64</f>
        <v>1920532.0016574999</v>
      </c>
      <c r="F65" s="27">
        <f>F63+F64</f>
        <v>6.17</v>
      </c>
      <c r="G65" s="42">
        <f t="shared" ref="G65:J65" si="33">G63+G64</f>
        <v>161868.20000000001</v>
      </c>
      <c r="H65" s="42">
        <f t="shared" si="33"/>
        <v>139547.09820576044</v>
      </c>
      <c r="I65" s="42">
        <f t="shared" si="33"/>
        <v>19028.201794239554</v>
      </c>
      <c r="J65" s="42">
        <f t="shared" si="33"/>
        <v>3292.9</v>
      </c>
      <c r="K65" s="27">
        <f>K63+K64</f>
        <v>32.594999999999999</v>
      </c>
      <c r="L65" s="42">
        <f t="shared" ref="L65:R65" si="34">L63+L64</f>
        <v>977244.76465749997</v>
      </c>
      <c r="M65" s="42">
        <f t="shared" si="34"/>
        <v>791535.93291742937</v>
      </c>
      <c r="N65" s="42">
        <f t="shared" si="34"/>
        <v>173751.83174007066</v>
      </c>
      <c r="O65" s="87">
        <f t="shared" si="34"/>
        <v>11957</v>
      </c>
      <c r="P65" s="27">
        <f>P63+P64</f>
        <v>29.68</v>
      </c>
      <c r="Q65" s="42">
        <f t="shared" si="34"/>
        <v>781419.03700000013</v>
      </c>
      <c r="R65" s="42">
        <f t="shared" si="34"/>
        <v>638812.01199999999</v>
      </c>
      <c r="S65" s="42">
        <f>S63+S64</f>
        <v>140226.97878000006</v>
      </c>
      <c r="T65" s="42">
        <f>T63+T64</f>
        <v>2380.0462200000038</v>
      </c>
      <c r="U65" s="79">
        <f>F65+K65+P65</f>
        <v>68.444999999999993</v>
      </c>
      <c r="V65" s="12">
        <f>G65+L65+Q65</f>
        <v>1920532.0016574999</v>
      </c>
      <c r="Y65" s="12">
        <f t="shared" si="6"/>
        <v>68.444999999999993</v>
      </c>
      <c r="Z65" s="12">
        <f t="shared" si="6"/>
        <v>1920532.0016574999</v>
      </c>
    </row>
    <row r="66" spans="1:26" s="11" customFormat="1" ht="32.25" customHeight="1">
      <c r="A66" s="126" t="s">
        <v>73</v>
      </c>
      <c r="B66" s="126"/>
      <c r="C66" s="126"/>
      <c r="D66" s="31"/>
      <c r="E66" s="42"/>
      <c r="F66" s="23"/>
      <c r="G66" s="23"/>
      <c r="H66" s="23"/>
      <c r="I66" s="23"/>
      <c r="J66" s="23"/>
      <c r="K66" s="45"/>
      <c r="L66" s="34"/>
      <c r="M66" s="34"/>
      <c r="N66" s="34"/>
      <c r="O66" s="88"/>
      <c r="P66" s="34"/>
      <c r="Q66" s="34"/>
      <c r="R66" s="34"/>
      <c r="S66" s="34"/>
      <c r="T66" s="34"/>
      <c r="U66" s="78"/>
      <c r="Y66" s="12">
        <f t="shared" si="6"/>
        <v>0</v>
      </c>
      <c r="Z66" s="12">
        <f t="shared" si="6"/>
        <v>0</v>
      </c>
    </row>
    <row r="67" spans="1:26" s="11" customFormat="1" ht="43.5" customHeight="1">
      <c r="A67" s="99">
        <v>26</v>
      </c>
      <c r="B67" s="25" t="s">
        <v>38</v>
      </c>
      <c r="C67" s="21" t="s">
        <v>17</v>
      </c>
      <c r="D67" s="31">
        <v>7</v>
      </c>
      <c r="E67" s="23">
        <f>212000-5000</f>
        <v>207000</v>
      </c>
      <c r="F67" s="22">
        <f>D67</f>
        <v>7</v>
      </c>
      <c r="G67" s="23">
        <f>E67</f>
        <v>207000</v>
      </c>
      <c r="H67" s="23">
        <f t="shared" ref="H67:H68" si="35">G67*0.879999983231406</f>
        <v>182159.99652890104</v>
      </c>
      <c r="I67" s="23">
        <f>G67-H67</f>
        <v>24840.003471098957</v>
      </c>
      <c r="J67" s="23"/>
      <c r="K67" s="45"/>
      <c r="L67" s="34"/>
      <c r="M67" s="34"/>
      <c r="N67" s="34"/>
      <c r="O67" s="88"/>
      <c r="P67" s="34"/>
      <c r="Q67" s="34"/>
      <c r="R67" s="34"/>
      <c r="S67" s="34"/>
      <c r="T67" s="34"/>
      <c r="U67" s="78"/>
      <c r="Y67" s="12">
        <f t="shared" si="6"/>
        <v>7</v>
      </c>
      <c r="Z67" s="12">
        <f t="shared" si="6"/>
        <v>207000</v>
      </c>
    </row>
    <row r="68" spans="1:26" s="11" customFormat="1" ht="64.5" customHeight="1">
      <c r="A68" s="99">
        <v>27</v>
      </c>
      <c r="B68" s="19" t="s">
        <v>95</v>
      </c>
      <c r="C68" s="21" t="s">
        <v>17</v>
      </c>
      <c r="D68" s="24">
        <v>5.26</v>
      </c>
      <c r="E68" s="23">
        <v>184100</v>
      </c>
      <c r="F68" s="22">
        <f>D68</f>
        <v>5.26</v>
      </c>
      <c r="G68" s="23">
        <f>E68</f>
        <v>184100</v>
      </c>
      <c r="H68" s="23">
        <f t="shared" si="35"/>
        <v>162007.99691290184</v>
      </c>
      <c r="I68" s="23">
        <f>G68-H68</f>
        <v>22092.003087098157</v>
      </c>
      <c r="J68" s="23"/>
      <c r="K68" s="22"/>
      <c r="L68" s="23"/>
      <c r="M68" s="23"/>
      <c r="N68" s="23"/>
      <c r="O68" s="88"/>
      <c r="P68" s="34"/>
      <c r="Q68" s="34"/>
      <c r="R68" s="34"/>
      <c r="S68" s="34"/>
      <c r="T68" s="34"/>
      <c r="U68" s="78"/>
      <c r="V68" s="12"/>
      <c r="Y68" s="12">
        <f t="shared" si="6"/>
        <v>5.26</v>
      </c>
      <c r="Z68" s="12">
        <f t="shared" si="6"/>
        <v>184100</v>
      </c>
    </row>
    <row r="69" spans="1:26" s="11" customFormat="1" ht="33" customHeight="1">
      <c r="A69" s="100"/>
      <c r="B69" s="19" t="s">
        <v>31</v>
      </c>
      <c r="C69" s="21"/>
      <c r="D69" s="28">
        <f t="shared" ref="D69:I69" si="36">SUM(D67:D68)</f>
        <v>12.26</v>
      </c>
      <c r="E69" s="28">
        <f t="shared" si="36"/>
        <v>391100</v>
      </c>
      <c r="F69" s="28">
        <f t="shared" si="36"/>
        <v>12.26</v>
      </c>
      <c r="G69" s="28">
        <f t="shared" si="36"/>
        <v>391100</v>
      </c>
      <c r="H69" s="28">
        <f t="shared" si="36"/>
        <v>344167.99344180292</v>
      </c>
      <c r="I69" s="28">
        <f t="shared" si="36"/>
        <v>46932.006558197114</v>
      </c>
      <c r="J69" s="28"/>
      <c r="K69" s="28"/>
      <c r="L69" s="28"/>
      <c r="M69" s="28"/>
      <c r="N69" s="28"/>
      <c r="O69" s="88"/>
      <c r="P69" s="34"/>
      <c r="Q69" s="34"/>
      <c r="R69" s="34"/>
      <c r="S69" s="34"/>
      <c r="T69" s="34"/>
      <c r="U69" s="78"/>
      <c r="Y69" s="12">
        <f t="shared" si="6"/>
        <v>12.26</v>
      </c>
      <c r="Z69" s="12">
        <f t="shared" si="6"/>
        <v>391100</v>
      </c>
    </row>
    <row r="70" spans="1:26" s="11" customFormat="1" ht="32.25" customHeight="1">
      <c r="A70" s="100"/>
      <c r="B70" s="19" t="s">
        <v>32</v>
      </c>
      <c r="C70" s="21"/>
      <c r="D70" s="26">
        <f>F70+K70+P70</f>
        <v>1.1000000000000001</v>
      </c>
      <c r="E70" s="23">
        <f>G70+L70+Q70</f>
        <v>24730.897000000001</v>
      </c>
      <c r="F70" s="23">
        <v>1.1000000000000001</v>
      </c>
      <c r="G70" s="23">
        <v>24730.897000000001</v>
      </c>
      <c r="H70" s="23">
        <v>20675.029891999999</v>
      </c>
      <c r="I70" s="23">
        <f>G70-H70-J70</f>
        <v>2819.3671080000022</v>
      </c>
      <c r="J70" s="23">
        <v>1236.5</v>
      </c>
      <c r="K70" s="28"/>
      <c r="L70" s="28"/>
      <c r="M70" s="28"/>
      <c r="N70" s="28"/>
      <c r="O70" s="92"/>
      <c r="P70" s="28"/>
      <c r="Q70" s="28"/>
      <c r="R70" s="28"/>
      <c r="S70" s="28"/>
      <c r="T70" s="28"/>
      <c r="U70" s="82"/>
      <c r="Y70" s="12">
        <f t="shared" si="6"/>
        <v>1.1000000000000001</v>
      </c>
      <c r="Z70" s="12">
        <f t="shared" si="6"/>
        <v>24730.897000000001</v>
      </c>
    </row>
    <row r="71" spans="1:26" s="11" customFormat="1" ht="48" customHeight="1">
      <c r="A71" s="126" t="s">
        <v>74</v>
      </c>
      <c r="B71" s="126"/>
      <c r="C71" s="126"/>
      <c r="D71" s="27">
        <f>SUM(D69:D70)</f>
        <v>13.36</v>
      </c>
      <c r="E71" s="42">
        <f>SUM(E69:E70)</f>
        <v>415830.897</v>
      </c>
      <c r="F71" s="27">
        <f>SUM(F69:F70)</f>
        <v>13.36</v>
      </c>
      <c r="G71" s="42">
        <f t="shared" ref="G71:I71" si="37">SUM(G69:G70)</f>
        <v>415830.897</v>
      </c>
      <c r="H71" s="42">
        <f t="shared" si="37"/>
        <v>364843.02333380294</v>
      </c>
      <c r="I71" s="42">
        <f t="shared" si="37"/>
        <v>49751.37366619712</v>
      </c>
      <c r="J71" s="42">
        <f>SUM(J69:J70)</f>
        <v>1236.5</v>
      </c>
      <c r="K71" s="27">
        <f>SUM(K69:K70)</f>
        <v>0</v>
      </c>
      <c r="L71" s="42">
        <f t="shared" ref="L71:N71" si="38">SUM(L69:L70)</f>
        <v>0</v>
      </c>
      <c r="M71" s="42">
        <f t="shared" si="38"/>
        <v>0</v>
      </c>
      <c r="N71" s="42">
        <f t="shared" si="38"/>
        <v>0</v>
      </c>
      <c r="O71" s="88"/>
      <c r="P71" s="34"/>
      <c r="Q71" s="34"/>
      <c r="R71" s="34"/>
      <c r="S71" s="34"/>
      <c r="T71" s="34"/>
      <c r="U71" s="79">
        <f>F71+K71+P71</f>
        <v>13.36</v>
      </c>
      <c r="V71" s="12">
        <f>G71+L71+Q71</f>
        <v>415830.897</v>
      </c>
      <c r="Y71" s="12">
        <f t="shared" si="6"/>
        <v>13.36</v>
      </c>
      <c r="Z71" s="12">
        <f t="shared" si="6"/>
        <v>415830.897</v>
      </c>
    </row>
    <row r="72" spans="1:26" s="11" customFormat="1" ht="28.5" customHeight="1">
      <c r="A72" s="126" t="s">
        <v>75</v>
      </c>
      <c r="B72" s="126"/>
      <c r="C72" s="126"/>
      <c r="D72" s="29"/>
      <c r="E72" s="42"/>
      <c r="F72" s="23"/>
      <c r="G72" s="23"/>
      <c r="H72" s="23"/>
      <c r="I72" s="23"/>
      <c r="J72" s="23"/>
      <c r="K72" s="45"/>
      <c r="L72" s="34"/>
      <c r="M72" s="34"/>
      <c r="N72" s="34"/>
      <c r="O72" s="88"/>
      <c r="P72" s="34"/>
      <c r="Q72" s="34"/>
      <c r="R72" s="34"/>
      <c r="S72" s="34"/>
      <c r="T72" s="34"/>
      <c r="U72" s="78"/>
      <c r="Y72" s="12">
        <f t="shared" si="6"/>
        <v>0</v>
      </c>
      <c r="Z72" s="12">
        <f t="shared" si="6"/>
        <v>0</v>
      </c>
    </row>
    <row r="73" spans="1:26" s="11" customFormat="1" ht="33" customHeight="1">
      <c r="A73" s="99">
        <v>28</v>
      </c>
      <c r="B73" s="25" t="s">
        <v>39</v>
      </c>
      <c r="C73" s="21" t="s">
        <v>26</v>
      </c>
      <c r="D73" s="29">
        <v>5</v>
      </c>
      <c r="E73" s="23">
        <v>285934.38983</v>
      </c>
      <c r="F73" s="22">
        <f>D73</f>
        <v>5</v>
      </c>
      <c r="G73" s="23">
        <f>E73</f>
        <v>285934.38983</v>
      </c>
      <c r="H73" s="23">
        <f t="shared" ref="H73" si="39">G73*0.879999983231406</f>
        <v>251622.25825568233</v>
      </c>
      <c r="I73" s="23">
        <f>G73-H73</f>
        <v>34312.131574317667</v>
      </c>
      <c r="J73" s="23"/>
      <c r="K73" s="45"/>
      <c r="L73" s="34"/>
      <c r="M73" s="34"/>
      <c r="N73" s="34"/>
      <c r="O73" s="88"/>
      <c r="P73" s="34"/>
      <c r="Q73" s="34"/>
      <c r="R73" s="34"/>
      <c r="S73" s="34"/>
      <c r="T73" s="34"/>
      <c r="U73" s="78"/>
      <c r="Y73" s="12">
        <f t="shared" si="6"/>
        <v>5</v>
      </c>
      <c r="Z73" s="12">
        <f t="shared" si="6"/>
        <v>285934.38983</v>
      </c>
    </row>
    <row r="74" spans="1:26" s="11" customFormat="1" ht="44.25" customHeight="1">
      <c r="A74" s="99">
        <v>29</v>
      </c>
      <c r="B74" s="19" t="s">
        <v>96</v>
      </c>
      <c r="C74" s="21" t="s">
        <v>26</v>
      </c>
      <c r="D74" s="24">
        <v>5</v>
      </c>
      <c r="E74" s="23">
        <f>290347.91585*1.041</f>
        <v>302252.18039984995</v>
      </c>
      <c r="F74" s="22"/>
      <c r="G74" s="23"/>
      <c r="H74" s="23"/>
      <c r="I74" s="23"/>
      <c r="J74" s="23"/>
      <c r="K74" s="22">
        <f>D74</f>
        <v>5</v>
      </c>
      <c r="L74" s="23">
        <f>E74</f>
        <v>302252.18039984995</v>
      </c>
      <c r="M74" s="23">
        <f t="shared" ref="M74" si="40">L74*0.819999994727603</f>
        <v>247846.78633428348</v>
      </c>
      <c r="N74" s="23">
        <f>L74-M74</f>
        <v>54405.394065566477</v>
      </c>
      <c r="O74" s="88"/>
      <c r="P74" s="34"/>
      <c r="Q74" s="34"/>
      <c r="R74" s="34"/>
      <c r="S74" s="34"/>
      <c r="T74" s="34"/>
      <c r="U74" s="78"/>
      <c r="Y74" s="12">
        <f t="shared" si="6"/>
        <v>5</v>
      </c>
      <c r="Z74" s="12">
        <f t="shared" si="6"/>
        <v>302252.18039984995</v>
      </c>
    </row>
    <row r="75" spans="1:26" s="11" customFormat="1" ht="44.25" customHeight="1">
      <c r="A75" s="99">
        <v>30</v>
      </c>
      <c r="B75" s="19" t="s">
        <v>141</v>
      </c>
      <c r="C75" s="21" t="s">
        <v>17</v>
      </c>
      <c r="D75" s="24">
        <v>3.6</v>
      </c>
      <c r="E75" s="23">
        <v>126000</v>
      </c>
      <c r="F75" s="22"/>
      <c r="G75" s="23"/>
      <c r="H75" s="23"/>
      <c r="I75" s="23"/>
      <c r="J75" s="23"/>
      <c r="K75" s="22">
        <f>D75</f>
        <v>3.6</v>
      </c>
      <c r="L75" s="23">
        <f>E75</f>
        <v>126000</v>
      </c>
      <c r="M75" s="23">
        <v>103319.99933567797</v>
      </c>
      <c r="N75" s="23">
        <f>L75-M75</f>
        <v>22680.000664322026</v>
      </c>
      <c r="O75" s="88"/>
      <c r="P75" s="34"/>
      <c r="Q75" s="34"/>
      <c r="R75" s="34"/>
      <c r="S75" s="34"/>
      <c r="T75" s="34"/>
      <c r="U75" s="78"/>
      <c r="Y75" s="12">
        <f t="shared" si="6"/>
        <v>3.6</v>
      </c>
      <c r="Z75" s="12">
        <f t="shared" si="6"/>
        <v>126000</v>
      </c>
    </row>
    <row r="76" spans="1:26" s="11" customFormat="1" ht="44.25" customHeight="1">
      <c r="A76" s="99">
        <v>31</v>
      </c>
      <c r="B76" s="19" t="s">
        <v>149</v>
      </c>
      <c r="C76" s="21" t="s">
        <v>17</v>
      </c>
      <c r="D76" s="24">
        <v>6</v>
      </c>
      <c r="E76" s="23">
        <v>240000</v>
      </c>
      <c r="F76" s="22"/>
      <c r="G76" s="23"/>
      <c r="H76" s="23"/>
      <c r="I76" s="23"/>
      <c r="J76" s="23"/>
      <c r="K76" s="22"/>
      <c r="L76" s="23"/>
      <c r="M76" s="23"/>
      <c r="N76" s="23"/>
      <c r="O76" s="88"/>
      <c r="P76" s="29">
        <f>D76</f>
        <v>6</v>
      </c>
      <c r="Q76" s="23">
        <f>E76</f>
        <v>240000</v>
      </c>
      <c r="R76" s="23">
        <f>Q76*0.82</f>
        <v>196800</v>
      </c>
      <c r="S76" s="23">
        <f>Q76-R76</f>
        <v>43200</v>
      </c>
      <c r="T76" s="34"/>
      <c r="U76" s="78"/>
      <c r="Y76" s="12">
        <f t="shared" si="6"/>
        <v>6</v>
      </c>
      <c r="Z76" s="12">
        <f t="shared" si="6"/>
        <v>240000</v>
      </c>
    </row>
    <row r="77" spans="1:26" s="11" customFormat="1" ht="27.75" customHeight="1">
      <c r="A77" s="100"/>
      <c r="B77" s="19" t="s">
        <v>31</v>
      </c>
      <c r="C77" s="21"/>
      <c r="D77" s="28">
        <f>SUBTOTAL(9,D73:D76)</f>
        <v>19.600000000000001</v>
      </c>
      <c r="E77" s="28">
        <f>SUBTOTAL(9,E73:E76)</f>
        <v>954186.57022985001</v>
      </c>
      <c r="F77" s="28">
        <f t="shared" ref="F77:I77" si="41">SUM(F73:F74)</f>
        <v>5</v>
      </c>
      <c r="G77" s="28">
        <f t="shared" si="41"/>
        <v>285934.38983</v>
      </c>
      <c r="H77" s="28">
        <f t="shared" si="41"/>
        <v>251622.25825568233</v>
      </c>
      <c r="I77" s="28">
        <f t="shared" si="41"/>
        <v>34312.131574317667</v>
      </c>
      <c r="J77" s="28"/>
      <c r="K77" s="28">
        <f>SUBTOTAL(9,K74:K75)</f>
        <v>8.6</v>
      </c>
      <c r="L77" s="28">
        <f t="shared" ref="L77:N77" si="42">SUBTOTAL(9,L74:L75)</f>
        <v>428252.18039984995</v>
      </c>
      <c r="M77" s="28">
        <f t="shared" si="42"/>
        <v>351166.78566996148</v>
      </c>
      <c r="N77" s="28">
        <f t="shared" si="42"/>
        <v>77085.394729888503</v>
      </c>
      <c r="O77" s="88"/>
      <c r="P77" s="23">
        <f>P76</f>
        <v>6</v>
      </c>
      <c r="Q77" s="23">
        <f>Q76</f>
        <v>240000</v>
      </c>
      <c r="R77" s="23">
        <f t="shared" ref="R77:S77" si="43">R76</f>
        <v>196800</v>
      </c>
      <c r="S77" s="23">
        <f t="shared" si="43"/>
        <v>43200</v>
      </c>
      <c r="T77" s="34"/>
      <c r="U77" s="78"/>
      <c r="Y77" s="12">
        <f t="shared" si="6"/>
        <v>19.600000000000001</v>
      </c>
      <c r="Z77" s="12">
        <f t="shared" si="6"/>
        <v>954186.57022985001</v>
      </c>
    </row>
    <row r="78" spans="1:26" s="11" customFormat="1" ht="24.75" customHeight="1">
      <c r="A78" s="100"/>
      <c r="B78" s="19" t="s">
        <v>32</v>
      </c>
      <c r="C78" s="21"/>
      <c r="D78" s="26">
        <f>F78+K78+P78</f>
        <v>7.26</v>
      </c>
      <c r="E78" s="23">
        <f>G78+L78+Q78</f>
        <v>128635.86096799999</v>
      </c>
      <c r="F78" s="23">
        <v>5.66</v>
      </c>
      <c r="G78" s="23">
        <v>102830.39999999999</v>
      </c>
      <c r="H78" s="23">
        <v>85966.1</v>
      </c>
      <c r="I78" s="23">
        <f>G78-H78-J78</f>
        <v>11722.783928899989</v>
      </c>
      <c r="J78" s="23">
        <v>5141.5160710999999</v>
      </c>
      <c r="K78" s="28"/>
      <c r="L78" s="28"/>
      <c r="M78" s="28"/>
      <c r="N78" s="28"/>
      <c r="O78" s="92"/>
      <c r="P78" s="23">
        <v>1.6</v>
      </c>
      <c r="Q78" s="23">
        <v>25805.460967999999</v>
      </c>
      <c r="R78" s="23">
        <v>20102.5</v>
      </c>
      <c r="S78" s="23">
        <f>Q78-R78-T78</f>
        <v>4412.6879195999973</v>
      </c>
      <c r="T78" s="23">
        <v>1290.2730484000022</v>
      </c>
      <c r="U78" s="82"/>
      <c r="Y78" s="12">
        <f t="shared" si="6"/>
        <v>7.26</v>
      </c>
      <c r="Z78" s="12">
        <f t="shared" si="6"/>
        <v>128635.86096799999</v>
      </c>
    </row>
    <row r="79" spans="1:26" s="11" customFormat="1" ht="44.25" customHeight="1">
      <c r="A79" s="134" t="s">
        <v>76</v>
      </c>
      <c r="B79" s="134"/>
      <c r="C79" s="134"/>
      <c r="D79" s="27">
        <f>SUM(D77:D78)</f>
        <v>26.86</v>
      </c>
      <c r="E79" s="42">
        <f>SUM(E77:E78)</f>
        <v>1082822.43119785</v>
      </c>
      <c r="F79" s="27">
        <f>SUM(F77:F78)</f>
        <v>10.66</v>
      </c>
      <c r="G79" s="42">
        <f t="shared" ref="G79:I79" si="44">SUM(G77:G78)</f>
        <v>388764.78983000002</v>
      </c>
      <c r="H79" s="42">
        <f t="shared" si="44"/>
        <v>337588.35825568234</v>
      </c>
      <c r="I79" s="42">
        <f t="shared" si="44"/>
        <v>46034.915503217657</v>
      </c>
      <c r="J79" s="42">
        <f>SUM(J77:J78)</f>
        <v>5141.5160710999999</v>
      </c>
      <c r="K79" s="27">
        <f>SUM(K77:K78)</f>
        <v>8.6</v>
      </c>
      <c r="L79" s="42">
        <f t="shared" ref="L79:N79" si="45">SUM(L77:L78)</f>
        <v>428252.18039984995</v>
      </c>
      <c r="M79" s="42">
        <f t="shared" si="45"/>
        <v>351166.78566996148</v>
      </c>
      <c r="N79" s="42">
        <f t="shared" si="45"/>
        <v>77085.394729888503</v>
      </c>
      <c r="O79" s="88"/>
      <c r="P79" s="27">
        <f>SUM(P77:P78)</f>
        <v>7.6</v>
      </c>
      <c r="Q79" s="42">
        <f t="shared" ref="Q79:S79" si="46">SUM(Q77:Q78)</f>
        <v>265805.460968</v>
      </c>
      <c r="R79" s="42">
        <f t="shared" si="46"/>
        <v>216902.5</v>
      </c>
      <c r="S79" s="42">
        <f t="shared" si="46"/>
        <v>47612.687919599994</v>
      </c>
      <c r="T79" s="42">
        <f>SUM(T77:T78)</f>
        <v>1290.2730484000022</v>
      </c>
      <c r="U79" s="79">
        <f>F79+K79+P79</f>
        <v>26.86</v>
      </c>
      <c r="V79" s="12">
        <f>G79+L79+Q79</f>
        <v>1082822.43119785</v>
      </c>
      <c r="Y79" s="12">
        <f t="shared" si="6"/>
        <v>26.86</v>
      </c>
      <c r="Z79" s="12">
        <f t="shared" si="6"/>
        <v>1082822.43119785</v>
      </c>
    </row>
    <row r="80" spans="1:26" s="11" customFormat="1" ht="29.25" customHeight="1">
      <c r="A80" s="133" t="s">
        <v>107</v>
      </c>
      <c r="B80" s="135"/>
      <c r="C80" s="136"/>
      <c r="D80" s="28"/>
      <c r="E80" s="42"/>
      <c r="F80" s="23"/>
      <c r="G80" s="23"/>
      <c r="H80" s="23"/>
      <c r="I80" s="23"/>
      <c r="J80" s="23"/>
      <c r="K80" s="45"/>
      <c r="L80" s="34"/>
      <c r="M80" s="34"/>
      <c r="N80" s="34"/>
      <c r="O80" s="88"/>
      <c r="P80" s="34"/>
      <c r="Q80" s="34"/>
      <c r="R80" s="34"/>
      <c r="S80" s="34"/>
      <c r="T80" s="34"/>
      <c r="U80" s="78"/>
      <c r="Y80" s="12">
        <f t="shared" si="6"/>
        <v>0</v>
      </c>
      <c r="Z80" s="12">
        <f t="shared" si="6"/>
        <v>0</v>
      </c>
    </row>
    <row r="81" spans="1:26" s="11" customFormat="1" ht="48" customHeight="1">
      <c r="A81" s="99">
        <v>32</v>
      </c>
      <c r="B81" s="25" t="s">
        <v>126</v>
      </c>
      <c r="C81" s="21" t="s">
        <v>28</v>
      </c>
      <c r="D81" s="29">
        <v>2.82</v>
      </c>
      <c r="E81" s="23">
        <v>95167.22</v>
      </c>
      <c r="F81" s="30"/>
      <c r="G81" s="23"/>
      <c r="H81" s="23"/>
      <c r="I81" s="23"/>
      <c r="J81" s="23"/>
      <c r="K81" s="22">
        <f>D81</f>
        <v>2.82</v>
      </c>
      <c r="L81" s="23">
        <f>E81</f>
        <v>95167.22</v>
      </c>
      <c r="M81" s="23">
        <v>78037.119898240635</v>
      </c>
      <c r="N81" s="23">
        <f>L81-M81</f>
        <v>17130.100101759366</v>
      </c>
      <c r="O81" s="88"/>
      <c r="P81" s="34"/>
      <c r="Q81" s="34"/>
      <c r="R81" s="34"/>
      <c r="S81" s="34"/>
      <c r="T81" s="34"/>
      <c r="U81" s="78"/>
      <c r="Y81" s="12">
        <f t="shared" si="6"/>
        <v>2.82</v>
      </c>
      <c r="Z81" s="12">
        <f t="shared" si="6"/>
        <v>95167.22</v>
      </c>
    </row>
    <row r="82" spans="1:26" s="11" customFormat="1" ht="48" customHeight="1">
      <c r="A82" s="99">
        <v>33</v>
      </c>
      <c r="B82" s="41" t="s">
        <v>119</v>
      </c>
      <c r="C82" s="71" t="s">
        <v>17</v>
      </c>
      <c r="D82" s="72">
        <v>4.97</v>
      </c>
      <c r="E82" s="23">
        <v>124639.25314</v>
      </c>
      <c r="F82" s="30"/>
      <c r="G82" s="23"/>
      <c r="H82" s="23"/>
      <c r="I82" s="23"/>
      <c r="J82" s="23"/>
      <c r="K82" s="22"/>
      <c r="L82" s="23"/>
      <c r="M82" s="23"/>
      <c r="N82" s="23"/>
      <c r="O82" s="88"/>
      <c r="P82" s="72">
        <f>D82</f>
        <v>4.97</v>
      </c>
      <c r="Q82" s="23">
        <f>E82</f>
        <v>124639.25314</v>
      </c>
      <c r="R82" s="23">
        <f>Q82*0.82</f>
        <v>102204.18757479999</v>
      </c>
      <c r="S82" s="23">
        <f>Q82-R82</f>
        <v>22435.065565200013</v>
      </c>
      <c r="T82" s="34"/>
      <c r="U82" s="78"/>
      <c r="Y82" s="12">
        <f t="shared" si="6"/>
        <v>4.97</v>
      </c>
      <c r="Z82" s="12">
        <f t="shared" si="6"/>
        <v>124639.25314</v>
      </c>
    </row>
    <row r="83" spans="1:26" s="11" customFormat="1" ht="27.75" customHeight="1">
      <c r="A83" s="100"/>
      <c r="B83" s="19" t="s">
        <v>31</v>
      </c>
      <c r="C83" s="21"/>
      <c r="D83" s="28">
        <f>SUM(D81:D82)</f>
        <v>7.7899999999999991</v>
      </c>
      <c r="E83" s="28">
        <f>SUM(E81:E82)</f>
        <v>219806.47314000002</v>
      </c>
      <c r="F83" s="28"/>
      <c r="G83" s="28"/>
      <c r="H83" s="28"/>
      <c r="I83" s="28"/>
      <c r="J83" s="28"/>
      <c r="K83" s="28">
        <f>SUM(K81:K81)</f>
        <v>2.82</v>
      </c>
      <c r="L83" s="28">
        <f>SUM(L81:L81)</f>
        <v>95167.22</v>
      </c>
      <c r="M83" s="28">
        <f>SUM(M81:M81)</f>
        <v>78037.119898240635</v>
      </c>
      <c r="N83" s="28">
        <f>SUM(N81:N81)</f>
        <v>17130.100101759366</v>
      </c>
      <c r="O83" s="88"/>
      <c r="P83" s="101">
        <f>SUM(P82)</f>
        <v>4.97</v>
      </c>
      <c r="Q83" s="23">
        <f>SUM(Q82)</f>
        <v>124639.25314</v>
      </c>
      <c r="R83" s="23">
        <f>SUM(R82)</f>
        <v>102204.18757479999</v>
      </c>
      <c r="S83" s="23">
        <f>SUM(S82)</f>
        <v>22435.065565200013</v>
      </c>
      <c r="T83" s="34"/>
      <c r="U83" s="78"/>
      <c r="Y83" s="12">
        <f t="shared" si="6"/>
        <v>7.7899999999999991</v>
      </c>
      <c r="Z83" s="12">
        <f t="shared" si="6"/>
        <v>219806.47314000002</v>
      </c>
    </row>
    <row r="84" spans="1:26" s="11" customFormat="1" ht="32.25" customHeight="1">
      <c r="A84" s="100"/>
      <c r="B84" s="19" t="s">
        <v>32</v>
      </c>
      <c r="C84" s="21"/>
      <c r="D84" s="26">
        <f>F84+K84+P84</f>
        <v>5.25</v>
      </c>
      <c r="E84" s="23">
        <f>G84+L84+Q84</f>
        <v>106635.6</v>
      </c>
      <c r="F84" s="23">
        <v>0.73</v>
      </c>
      <c r="G84" s="23">
        <v>20286.900000000001</v>
      </c>
      <c r="H84" s="23">
        <v>16959.848399999999</v>
      </c>
      <c r="I84" s="23">
        <f>G84-H84-J84</f>
        <v>2312.7516000000023</v>
      </c>
      <c r="J84" s="23">
        <v>1014.3</v>
      </c>
      <c r="K84" s="28">
        <v>4.5199999999999996</v>
      </c>
      <c r="L84" s="28">
        <v>86348.7</v>
      </c>
      <c r="M84" s="28">
        <v>66557.616499999989</v>
      </c>
      <c r="N84" s="28">
        <f>L84-M84-O84</f>
        <v>14610.158500000003</v>
      </c>
      <c r="O84" s="92">
        <v>5180.9250000000047</v>
      </c>
      <c r="P84" s="28"/>
      <c r="Q84" s="28"/>
      <c r="R84" s="28"/>
      <c r="S84" s="28"/>
      <c r="T84" s="28"/>
      <c r="U84" s="82"/>
      <c r="Y84" s="12">
        <f t="shared" si="6"/>
        <v>5.25</v>
      </c>
      <c r="Z84" s="12">
        <f t="shared" si="6"/>
        <v>106635.6</v>
      </c>
    </row>
    <row r="85" spans="1:26" s="11" customFormat="1" ht="45" customHeight="1">
      <c r="A85" s="134" t="s">
        <v>108</v>
      </c>
      <c r="B85" s="134"/>
      <c r="C85" s="134"/>
      <c r="D85" s="27">
        <f>SUM(D83:D84)</f>
        <v>13.04</v>
      </c>
      <c r="E85" s="42">
        <f>SUM(E83:E84)</f>
        <v>326442.07313999999</v>
      </c>
      <c r="F85" s="27">
        <f>SUM(F83:F84)</f>
        <v>0.73</v>
      </c>
      <c r="G85" s="42">
        <f t="shared" ref="G85:J85" si="47">SUM(G83:G84)</f>
        <v>20286.900000000001</v>
      </c>
      <c r="H85" s="42">
        <f t="shared" si="47"/>
        <v>16959.848399999999</v>
      </c>
      <c r="I85" s="42">
        <f t="shared" si="47"/>
        <v>2312.7516000000023</v>
      </c>
      <c r="J85" s="42">
        <f t="shared" si="47"/>
        <v>1014.3</v>
      </c>
      <c r="K85" s="27">
        <f>SUM(K83:K84)</f>
        <v>7.34</v>
      </c>
      <c r="L85" s="42">
        <f t="shared" ref="L85:T85" si="48">SUM(L83:L84)</f>
        <v>181515.91999999998</v>
      </c>
      <c r="M85" s="42">
        <f t="shared" si="48"/>
        <v>144594.73639824061</v>
      </c>
      <c r="N85" s="42">
        <f t="shared" si="48"/>
        <v>31740.258601759371</v>
      </c>
      <c r="O85" s="87">
        <f t="shared" si="48"/>
        <v>5180.9250000000047</v>
      </c>
      <c r="P85" s="27">
        <f>SUM(P83:P84)</f>
        <v>4.97</v>
      </c>
      <c r="Q85" s="42">
        <f t="shared" si="48"/>
        <v>124639.25314</v>
      </c>
      <c r="R85" s="42">
        <f t="shared" si="48"/>
        <v>102204.18757479999</v>
      </c>
      <c r="S85" s="42">
        <f t="shared" si="48"/>
        <v>22435.065565200013</v>
      </c>
      <c r="T85" s="42">
        <f t="shared" si="48"/>
        <v>0</v>
      </c>
      <c r="U85" s="79">
        <f>F85+K85+P85</f>
        <v>13.04</v>
      </c>
      <c r="V85" s="12">
        <f>G85+L85+Q85</f>
        <v>326442.07313999999</v>
      </c>
      <c r="Y85" s="12">
        <f t="shared" si="6"/>
        <v>13.04</v>
      </c>
      <c r="Z85" s="12">
        <f t="shared" si="6"/>
        <v>326442.07313999999</v>
      </c>
    </row>
    <row r="86" spans="1:26" s="11" customFormat="1" ht="33" customHeight="1">
      <c r="A86" s="126" t="s">
        <v>40</v>
      </c>
      <c r="B86" s="126"/>
      <c r="C86" s="126"/>
      <c r="D86" s="29"/>
      <c r="E86" s="42"/>
      <c r="F86" s="23"/>
      <c r="G86" s="23"/>
      <c r="H86" s="23"/>
      <c r="I86" s="23"/>
      <c r="J86" s="23"/>
      <c r="K86" s="45"/>
      <c r="L86" s="34"/>
      <c r="M86" s="34"/>
      <c r="N86" s="34"/>
      <c r="O86" s="88"/>
      <c r="P86" s="34"/>
      <c r="Q86" s="34"/>
      <c r="R86" s="34"/>
      <c r="S86" s="34"/>
      <c r="T86" s="34"/>
      <c r="U86" s="78"/>
      <c r="Y86" s="12">
        <f t="shared" si="6"/>
        <v>0</v>
      </c>
      <c r="Z86" s="12">
        <f t="shared" si="6"/>
        <v>0</v>
      </c>
    </row>
    <row r="87" spans="1:26" s="11" customFormat="1" ht="43.5" customHeight="1">
      <c r="A87" s="99">
        <v>34</v>
      </c>
      <c r="B87" s="25" t="s">
        <v>41</v>
      </c>
      <c r="C87" s="21" t="s">
        <v>26</v>
      </c>
      <c r="D87" s="29">
        <v>6</v>
      </c>
      <c r="E87" s="23">
        <f>277200.30455-60984.06716</f>
        <v>216216.23738999999</v>
      </c>
      <c r="F87" s="22">
        <f>D87</f>
        <v>6</v>
      </c>
      <c r="G87" s="23">
        <f>E87</f>
        <v>216216.23738999999</v>
      </c>
      <c r="H87" s="23">
        <f t="shared" ref="H87" si="49">G87*0.879999983231406</f>
        <v>190270.2852775577</v>
      </c>
      <c r="I87" s="23">
        <f>G87-H87</f>
        <v>25945.95211244229</v>
      </c>
      <c r="J87" s="23"/>
      <c r="K87" s="45"/>
      <c r="L87" s="34"/>
      <c r="M87" s="34"/>
      <c r="N87" s="34"/>
      <c r="O87" s="88"/>
      <c r="P87" s="34"/>
      <c r="Q87" s="34"/>
      <c r="R87" s="34"/>
      <c r="S87" s="34"/>
      <c r="T87" s="34"/>
      <c r="U87" s="78"/>
      <c r="Y87" s="12">
        <f t="shared" si="6"/>
        <v>6</v>
      </c>
      <c r="Z87" s="12">
        <f t="shared" si="6"/>
        <v>216216.23738999999</v>
      </c>
    </row>
    <row r="88" spans="1:26" s="11" customFormat="1" ht="46.5" customHeight="1">
      <c r="A88" s="99">
        <v>35</v>
      </c>
      <c r="B88" s="25" t="s">
        <v>97</v>
      </c>
      <c r="C88" s="21" t="s">
        <v>26</v>
      </c>
      <c r="D88" s="29">
        <v>3.5</v>
      </c>
      <c r="E88" s="23">
        <f>143786.92*1.2*1.074*1.055*1.041</f>
        <v>203520.47028914446</v>
      </c>
      <c r="F88" s="22"/>
      <c r="G88" s="23"/>
      <c r="H88" s="23"/>
      <c r="I88" s="23"/>
      <c r="J88" s="23"/>
      <c r="K88" s="22">
        <f>D88</f>
        <v>3.5</v>
      </c>
      <c r="L88" s="23">
        <f>E88</f>
        <v>203520.47028914446</v>
      </c>
      <c r="M88" s="23">
        <f t="shared" ref="M88:M89" si="50">L88*0.819999994727603</f>
        <v>166886.78456405774</v>
      </c>
      <c r="N88" s="23">
        <f>L88-M88</f>
        <v>36633.685725086718</v>
      </c>
      <c r="O88" s="88"/>
      <c r="P88" s="34"/>
      <c r="Q88" s="34"/>
      <c r="R88" s="34"/>
      <c r="S88" s="34"/>
      <c r="T88" s="34"/>
      <c r="U88" s="78"/>
      <c r="Y88" s="12">
        <f t="shared" si="6"/>
        <v>3.5</v>
      </c>
      <c r="Z88" s="12">
        <f t="shared" si="6"/>
        <v>203520.47028914446</v>
      </c>
    </row>
    <row r="89" spans="1:26" s="11" customFormat="1" ht="49.5" customHeight="1">
      <c r="A89" s="99">
        <v>36</v>
      </c>
      <c r="B89" s="25" t="s">
        <v>161</v>
      </c>
      <c r="C89" s="71" t="s">
        <v>17</v>
      </c>
      <c r="D89" s="29">
        <v>4.68</v>
      </c>
      <c r="E89" s="23">
        <v>163800</v>
      </c>
      <c r="F89" s="22"/>
      <c r="G89" s="23"/>
      <c r="H89" s="23"/>
      <c r="I89" s="23"/>
      <c r="J89" s="23"/>
      <c r="K89" s="22">
        <f>D89</f>
        <v>4.68</v>
      </c>
      <c r="L89" s="23">
        <f>E89</f>
        <v>163800</v>
      </c>
      <c r="M89" s="23">
        <f t="shared" si="50"/>
        <v>134315.99913638138</v>
      </c>
      <c r="N89" s="23">
        <f>L89-M89</f>
        <v>29484.000863618625</v>
      </c>
      <c r="O89" s="88"/>
      <c r="P89" s="34"/>
      <c r="Q89" s="34"/>
      <c r="R89" s="34"/>
      <c r="S89" s="34"/>
      <c r="T89" s="34"/>
      <c r="U89" s="78"/>
      <c r="Y89" s="12">
        <f t="shared" si="6"/>
        <v>4.68</v>
      </c>
      <c r="Z89" s="12">
        <f t="shared" si="6"/>
        <v>163800</v>
      </c>
    </row>
    <row r="90" spans="1:26" s="11" customFormat="1" ht="70.5" customHeight="1">
      <c r="A90" s="99">
        <v>37</v>
      </c>
      <c r="B90" s="25" t="s">
        <v>162</v>
      </c>
      <c r="C90" s="71" t="s">
        <v>17</v>
      </c>
      <c r="D90" s="29">
        <v>3.6</v>
      </c>
      <c r="E90" s="23">
        <v>126000</v>
      </c>
      <c r="F90" s="22"/>
      <c r="G90" s="23"/>
      <c r="H90" s="23"/>
      <c r="I90" s="23"/>
      <c r="J90" s="23"/>
      <c r="K90" s="22"/>
      <c r="L90" s="23"/>
      <c r="M90" s="23"/>
      <c r="N90" s="23"/>
      <c r="O90" s="88"/>
      <c r="P90" s="29">
        <f>D90</f>
        <v>3.6</v>
      </c>
      <c r="Q90" s="23">
        <f>E90</f>
        <v>126000</v>
      </c>
      <c r="R90" s="23">
        <f>Q90*0.82</f>
        <v>103320</v>
      </c>
      <c r="S90" s="23">
        <f>Q90-R90</f>
        <v>22680</v>
      </c>
      <c r="T90" s="34"/>
      <c r="U90" s="78"/>
      <c r="Y90" s="12">
        <f t="shared" si="6"/>
        <v>3.6</v>
      </c>
      <c r="Z90" s="12">
        <f t="shared" si="6"/>
        <v>126000</v>
      </c>
    </row>
    <row r="91" spans="1:26" s="11" customFormat="1" ht="27.75" customHeight="1">
      <c r="A91" s="100"/>
      <c r="B91" s="19" t="s">
        <v>31</v>
      </c>
      <c r="C91" s="21"/>
      <c r="D91" s="28">
        <f>SUBTOTAL(9,D87:D90)</f>
        <v>17.78</v>
      </c>
      <c r="E91" s="28">
        <f>SUBTOTAL(9,E87:E90)</f>
        <v>709536.70767914446</v>
      </c>
      <c r="F91" s="28">
        <f t="shared" ref="F91:I91" si="51">SUM(F87:F88)</f>
        <v>6</v>
      </c>
      <c r="G91" s="28">
        <f t="shared" si="51"/>
        <v>216216.23738999999</v>
      </c>
      <c r="H91" s="28">
        <f t="shared" si="51"/>
        <v>190270.2852775577</v>
      </c>
      <c r="I91" s="28">
        <f t="shared" si="51"/>
        <v>25945.95211244229</v>
      </c>
      <c r="J91" s="28"/>
      <c r="K91" s="28">
        <f>K89+K88</f>
        <v>8.18</v>
      </c>
      <c r="L91" s="28">
        <f t="shared" ref="L91:N91" si="52">L89+L88</f>
        <v>367320.47028914443</v>
      </c>
      <c r="M91" s="28">
        <f t="shared" si="52"/>
        <v>301202.78370043915</v>
      </c>
      <c r="N91" s="28">
        <f t="shared" si="52"/>
        <v>66117.686588705343</v>
      </c>
      <c r="O91" s="88"/>
      <c r="P91" s="29">
        <f>P90</f>
        <v>3.6</v>
      </c>
      <c r="Q91" s="23">
        <f>Q90</f>
        <v>126000</v>
      </c>
      <c r="R91" s="23">
        <f t="shared" ref="R91:S91" si="53">R90</f>
        <v>103320</v>
      </c>
      <c r="S91" s="23">
        <f t="shared" si="53"/>
        <v>22680</v>
      </c>
      <c r="T91" s="34"/>
      <c r="U91" s="78"/>
      <c r="Y91" s="12">
        <f t="shared" si="6"/>
        <v>17.78</v>
      </c>
      <c r="Z91" s="12">
        <f t="shared" si="6"/>
        <v>709536.70767914446</v>
      </c>
    </row>
    <row r="92" spans="1:26" s="11" customFormat="1" ht="27" hidden="1" customHeight="1">
      <c r="A92" s="100"/>
      <c r="B92" s="19" t="s">
        <v>32</v>
      </c>
      <c r="C92" s="21"/>
      <c r="D92" s="26">
        <f>F92+K92+P92</f>
        <v>0</v>
      </c>
      <c r="E92" s="23">
        <f>G92+L92+Q92</f>
        <v>0</v>
      </c>
      <c r="F92" s="23"/>
      <c r="G92" s="23"/>
      <c r="H92" s="23"/>
      <c r="I92" s="23"/>
      <c r="J92" s="23"/>
      <c r="K92" s="28"/>
      <c r="L92" s="28"/>
      <c r="M92" s="28"/>
      <c r="N92" s="28"/>
      <c r="O92" s="92"/>
      <c r="P92" s="28"/>
      <c r="Q92" s="28"/>
      <c r="R92" s="28"/>
      <c r="S92" s="28"/>
      <c r="T92" s="28"/>
      <c r="U92" s="82"/>
    </row>
    <row r="93" spans="1:26" s="11" customFormat="1" ht="33" customHeight="1">
      <c r="A93" s="134" t="s">
        <v>42</v>
      </c>
      <c r="B93" s="134"/>
      <c r="C93" s="134"/>
      <c r="D93" s="27">
        <f>SUM(D91:D92)</f>
        <v>17.78</v>
      </c>
      <c r="E93" s="42">
        <f>SUM(E91:E92)</f>
        <v>709536.70767914446</v>
      </c>
      <c r="F93" s="27">
        <f>SUM(F91:F92)</f>
        <v>6</v>
      </c>
      <c r="G93" s="42">
        <f t="shared" ref="G93:I93" si="54">SUM(G91:G92)</f>
        <v>216216.23738999999</v>
      </c>
      <c r="H93" s="42">
        <f t="shared" si="54"/>
        <v>190270.2852775577</v>
      </c>
      <c r="I93" s="42">
        <f t="shared" si="54"/>
        <v>25945.95211244229</v>
      </c>
      <c r="J93" s="42"/>
      <c r="K93" s="27">
        <f>SUM(K91:K92)</f>
        <v>8.18</v>
      </c>
      <c r="L93" s="42">
        <f t="shared" ref="L93:N93" si="55">SUM(L91:L92)</f>
        <v>367320.47028914443</v>
      </c>
      <c r="M93" s="42">
        <f t="shared" si="55"/>
        <v>301202.78370043915</v>
      </c>
      <c r="N93" s="42">
        <f t="shared" si="55"/>
        <v>66117.686588705343</v>
      </c>
      <c r="O93" s="88"/>
      <c r="P93" s="27">
        <f>P91</f>
        <v>3.6</v>
      </c>
      <c r="Q93" s="42">
        <f t="shared" ref="Q93:S93" si="56">Q91</f>
        <v>126000</v>
      </c>
      <c r="R93" s="42">
        <f t="shared" si="56"/>
        <v>103320</v>
      </c>
      <c r="S93" s="42">
        <f t="shared" si="56"/>
        <v>22680</v>
      </c>
      <c r="T93" s="34"/>
      <c r="U93" s="78"/>
      <c r="V93" s="12"/>
      <c r="Y93" s="12">
        <f t="shared" ref="Y93:Z113" si="57">F93+K93+P93</f>
        <v>17.78</v>
      </c>
      <c r="Z93" s="12">
        <f t="shared" si="57"/>
        <v>709536.70767914446</v>
      </c>
    </row>
    <row r="94" spans="1:26" s="11" customFormat="1" ht="30" customHeight="1">
      <c r="A94" s="126" t="s">
        <v>77</v>
      </c>
      <c r="B94" s="126"/>
      <c r="C94" s="126"/>
      <c r="D94" s="29"/>
      <c r="E94" s="42"/>
      <c r="F94" s="23"/>
      <c r="G94" s="23"/>
      <c r="H94" s="23"/>
      <c r="I94" s="23"/>
      <c r="J94" s="23"/>
      <c r="K94" s="45"/>
      <c r="L94" s="34"/>
      <c r="M94" s="34"/>
      <c r="N94" s="34"/>
      <c r="O94" s="88"/>
      <c r="P94" s="45"/>
      <c r="Q94" s="34"/>
      <c r="R94" s="34"/>
      <c r="S94" s="34"/>
      <c r="T94" s="34"/>
      <c r="U94" s="78"/>
      <c r="Y94" s="12">
        <f t="shared" si="57"/>
        <v>0</v>
      </c>
      <c r="Z94" s="12">
        <f t="shared" si="57"/>
        <v>0</v>
      </c>
    </row>
    <row r="95" spans="1:26" s="11" customFormat="1" ht="48" customHeight="1">
      <c r="A95" s="99">
        <v>38</v>
      </c>
      <c r="B95" s="25" t="s">
        <v>114</v>
      </c>
      <c r="C95" s="21" t="s">
        <v>17</v>
      </c>
      <c r="D95" s="29">
        <v>4.3</v>
      </c>
      <c r="E95" s="23">
        <v>112008.41737</v>
      </c>
      <c r="F95" s="22">
        <v>4.3</v>
      </c>
      <c r="G95" s="23">
        <v>112008.41737</v>
      </c>
      <c r="H95" s="23">
        <f t="shared" ref="H95" si="58">G95*0.879999983231406</f>
        <v>98567.405407376325</v>
      </c>
      <c r="I95" s="23">
        <f>G95-H95</f>
        <v>13441.01196262367</v>
      </c>
      <c r="J95" s="23"/>
      <c r="K95" s="45"/>
      <c r="L95" s="34"/>
      <c r="M95" s="34"/>
      <c r="N95" s="34"/>
      <c r="O95" s="88"/>
      <c r="P95" s="34"/>
      <c r="Q95" s="34"/>
      <c r="R95" s="34"/>
      <c r="S95" s="34"/>
      <c r="T95" s="34"/>
      <c r="U95" s="78"/>
      <c r="Y95" s="12">
        <f t="shared" si="57"/>
        <v>4.3</v>
      </c>
      <c r="Z95" s="12">
        <f t="shared" si="57"/>
        <v>112008.41737</v>
      </c>
    </row>
    <row r="96" spans="1:26" s="11" customFormat="1" ht="48" customHeight="1">
      <c r="A96" s="99">
        <v>39</v>
      </c>
      <c r="B96" s="25" t="s">
        <v>65</v>
      </c>
      <c r="C96" s="7" t="s">
        <v>17</v>
      </c>
      <c r="D96" s="29">
        <v>1</v>
      </c>
      <c r="E96" s="23">
        <v>43471.569309999999</v>
      </c>
      <c r="F96" s="22">
        <f>D96</f>
        <v>1</v>
      </c>
      <c r="G96" s="23">
        <f>E96</f>
        <v>43471.569309999999</v>
      </c>
      <c r="H96" s="23">
        <f>G96*0.88</f>
        <v>38254.980992799996</v>
      </c>
      <c r="I96" s="23">
        <f>G96-H96</f>
        <v>5216.5883172000031</v>
      </c>
      <c r="J96" s="23"/>
      <c r="K96" s="45"/>
      <c r="L96" s="34"/>
      <c r="M96" s="34"/>
      <c r="N96" s="34"/>
      <c r="O96" s="88"/>
      <c r="P96" s="34"/>
      <c r="Q96" s="34"/>
      <c r="R96" s="34"/>
      <c r="S96" s="34"/>
      <c r="T96" s="34"/>
      <c r="U96" s="78"/>
      <c r="V96" s="11" t="s">
        <v>35</v>
      </c>
      <c r="Y96" s="12">
        <f t="shared" si="57"/>
        <v>1</v>
      </c>
      <c r="Z96" s="12">
        <f t="shared" si="57"/>
        <v>43471.569309999999</v>
      </c>
    </row>
    <row r="97" spans="1:26" s="11" customFormat="1" ht="48" customHeight="1">
      <c r="A97" s="99">
        <v>40</v>
      </c>
      <c r="B97" s="25" t="s">
        <v>125</v>
      </c>
      <c r="C97" s="7" t="s">
        <v>17</v>
      </c>
      <c r="D97" s="29">
        <v>5.23</v>
      </c>
      <c r="E97" s="23">
        <v>203050</v>
      </c>
      <c r="F97" s="22"/>
      <c r="G97" s="23"/>
      <c r="H97" s="23"/>
      <c r="I97" s="23"/>
      <c r="J97" s="23"/>
      <c r="K97" s="22">
        <f>D97</f>
        <v>5.23</v>
      </c>
      <c r="L97" s="23">
        <f>E97</f>
        <v>203050</v>
      </c>
      <c r="M97" s="23">
        <f t="shared" ref="M97" si="59">L97*0.819999994727603</f>
        <v>166500.99892943978</v>
      </c>
      <c r="N97" s="23">
        <f>L97-M97</f>
        <v>36549.001070560218</v>
      </c>
      <c r="O97" s="88"/>
      <c r="P97" s="34"/>
      <c r="Q97" s="34"/>
      <c r="R97" s="34"/>
      <c r="S97" s="34"/>
      <c r="T97" s="34"/>
      <c r="U97" s="78"/>
      <c r="Y97" s="12">
        <f t="shared" si="57"/>
        <v>5.23</v>
      </c>
      <c r="Z97" s="12">
        <f t="shared" si="57"/>
        <v>203050</v>
      </c>
    </row>
    <row r="98" spans="1:26" s="11" customFormat="1" ht="27.75" customHeight="1">
      <c r="A98" s="100"/>
      <c r="B98" s="19" t="s">
        <v>31</v>
      </c>
      <c r="C98" s="21"/>
      <c r="D98" s="28">
        <f>D95+D96+D97</f>
        <v>10.530000000000001</v>
      </c>
      <c r="E98" s="28">
        <f>E95+E96+E97</f>
        <v>358529.98667999997</v>
      </c>
      <c r="F98" s="28">
        <f>SUM(F95:F97)</f>
        <v>5.3</v>
      </c>
      <c r="G98" s="28">
        <f t="shared" ref="G98:I98" si="60">G95+G96+G97</f>
        <v>155479.98668</v>
      </c>
      <c r="H98" s="28">
        <f t="shared" si="60"/>
        <v>136822.38640017633</v>
      </c>
      <c r="I98" s="28">
        <f t="shared" si="60"/>
        <v>18657.600279823673</v>
      </c>
      <c r="J98" s="28"/>
      <c r="K98" s="28">
        <f>SUM(K95:K97)</f>
        <v>5.23</v>
      </c>
      <c r="L98" s="28">
        <f t="shared" ref="L98:N98" si="61">L95+L96+L97</f>
        <v>203050</v>
      </c>
      <c r="M98" s="28">
        <f t="shared" si="61"/>
        <v>166500.99892943978</v>
      </c>
      <c r="N98" s="28">
        <f t="shared" si="61"/>
        <v>36549.001070560218</v>
      </c>
      <c r="O98" s="88"/>
      <c r="P98" s="34"/>
      <c r="Q98" s="34"/>
      <c r="R98" s="34"/>
      <c r="S98" s="34"/>
      <c r="T98" s="34"/>
      <c r="U98" s="78"/>
      <c r="Y98" s="12">
        <f t="shared" si="57"/>
        <v>10.530000000000001</v>
      </c>
      <c r="Z98" s="12">
        <f t="shared" si="57"/>
        <v>358529.98667999997</v>
      </c>
    </row>
    <row r="99" spans="1:26" s="11" customFormat="1" ht="30" customHeight="1">
      <c r="A99" s="100"/>
      <c r="B99" s="19" t="s">
        <v>32</v>
      </c>
      <c r="C99" s="21"/>
      <c r="D99" s="26">
        <f>F99+K99+P99</f>
        <v>1.337</v>
      </c>
      <c r="E99" s="23">
        <f>G99+L99+Q99</f>
        <v>18303.116000000002</v>
      </c>
      <c r="F99" s="23">
        <v>1.337</v>
      </c>
      <c r="G99" s="23">
        <v>18303.116000000002</v>
      </c>
      <c r="H99" s="23">
        <v>15301.4</v>
      </c>
      <c r="I99" s="23">
        <f>G99-H99-J99</f>
        <v>2086.6160000000023</v>
      </c>
      <c r="J99" s="23">
        <v>915.1</v>
      </c>
      <c r="K99" s="28"/>
      <c r="L99" s="28"/>
      <c r="M99" s="28"/>
      <c r="N99" s="28"/>
      <c r="O99" s="92"/>
      <c r="P99" s="28"/>
      <c r="Q99" s="28"/>
      <c r="R99" s="28"/>
      <c r="S99" s="28"/>
      <c r="T99" s="28"/>
      <c r="U99" s="82"/>
      <c r="Y99" s="12">
        <f t="shared" si="57"/>
        <v>1.337</v>
      </c>
      <c r="Z99" s="12">
        <f t="shared" si="57"/>
        <v>18303.116000000002</v>
      </c>
    </row>
    <row r="100" spans="1:26" s="11" customFormat="1" ht="33.75" customHeight="1">
      <c r="A100" s="134" t="s">
        <v>78</v>
      </c>
      <c r="B100" s="134"/>
      <c r="C100" s="134"/>
      <c r="D100" s="27">
        <f>SUM(D98:D99)</f>
        <v>11.867000000000001</v>
      </c>
      <c r="E100" s="42">
        <f>SUM(E98:E99)</f>
        <v>376833.10267999995</v>
      </c>
      <c r="F100" s="27">
        <f>SUM(F98:F99)</f>
        <v>6.6369999999999996</v>
      </c>
      <c r="G100" s="42">
        <f t="shared" ref="G100:I100" si="62">SUM(G98:G99)</f>
        <v>173783.10268000001</v>
      </c>
      <c r="H100" s="42">
        <f t="shared" si="62"/>
        <v>152123.78640017632</v>
      </c>
      <c r="I100" s="42">
        <f t="shared" si="62"/>
        <v>20744.216279823675</v>
      </c>
      <c r="J100" s="42"/>
      <c r="K100" s="27">
        <f>SUM(K98:K99)</f>
        <v>5.23</v>
      </c>
      <c r="L100" s="42">
        <f t="shared" ref="L100:N100" si="63">SUM(L98:L99)</f>
        <v>203050</v>
      </c>
      <c r="M100" s="42">
        <f t="shared" si="63"/>
        <v>166500.99892943978</v>
      </c>
      <c r="N100" s="42">
        <f t="shared" si="63"/>
        <v>36549.001070560218</v>
      </c>
      <c r="O100" s="88"/>
      <c r="P100" s="34"/>
      <c r="Q100" s="34"/>
      <c r="R100" s="34"/>
      <c r="S100" s="34"/>
      <c r="T100" s="34"/>
      <c r="U100" s="79">
        <f>F100+K100+P100</f>
        <v>11.867000000000001</v>
      </c>
      <c r="V100" s="12">
        <f>G100+L100+Q100</f>
        <v>376833.10268000001</v>
      </c>
      <c r="Y100" s="12">
        <f t="shared" si="57"/>
        <v>11.867000000000001</v>
      </c>
      <c r="Z100" s="12">
        <f t="shared" si="57"/>
        <v>376833.10268000001</v>
      </c>
    </row>
    <row r="101" spans="1:26" s="11" customFormat="1" ht="33" customHeight="1">
      <c r="A101" s="126" t="s">
        <v>79</v>
      </c>
      <c r="B101" s="126"/>
      <c r="C101" s="126"/>
      <c r="D101" s="29"/>
      <c r="E101" s="42"/>
      <c r="F101" s="23"/>
      <c r="G101" s="23"/>
      <c r="H101" s="23"/>
      <c r="I101" s="23"/>
      <c r="J101" s="23"/>
      <c r="K101" s="45"/>
      <c r="L101" s="34"/>
      <c r="M101" s="34"/>
      <c r="N101" s="34"/>
      <c r="O101" s="88"/>
      <c r="P101" s="34"/>
      <c r="Q101" s="34"/>
      <c r="R101" s="34"/>
      <c r="S101" s="34"/>
      <c r="T101" s="34"/>
      <c r="U101" s="78"/>
      <c r="Y101" s="12">
        <f t="shared" si="57"/>
        <v>0</v>
      </c>
      <c r="Z101" s="12">
        <f t="shared" si="57"/>
        <v>0</v>
      </c>
    </row>
    <row r="102" spans="1:26" s="11" customFormat="1" ht="47.25" customHeight="1">
      <c r="A102" s="99">
        <v>41</v>
      </c>
      <c r="B102" s="25" t="s">
        <v>63</v>
      </c>
      <c r="C102" s="21" t="s">
        <v>19</v>
      </c>
      <c r="D102" s="29">
        <v>2.1</v>
      </c>
      <c r="E102" s="23">
        <v>38675.228329999998</v>
      </c>
      <c r="F102" s="22">
        <f>D102</f>
        <v>2.1</v>
      </c>
      <c r="G102" s="23">
        <f>E102</f>
        <v>38675.228329999998</v>
      </c>
      <c r="H102" s="23">
        <f t="shared" ref="H102:H103" si="64">G102*0.879999983231406</f>
        <v>34034.200281870799</v>
      </c>
      <c r="I102" s="23">
        <f>G102-H102</f>
        <v>4641.0280481291993</v>
      </c>
      <c r="J102" s="23"/>
      <c r="K102" s="45"/>
      <c r="L102" s="34"/>
      <c r="M102" s="34"/>
      <c r="N102" s="34"/>
      <c r="O102" s="88"/>
      <c r="P102" s="34"/>
      <c r="Q102" s="34"/>
      <c r="R102" s="34"/>
      <c r="S102" s="34"/>
      <c r="T102" s="34"/>
      <c r="U102" s="78"/>
      <c r="Y102" s="12">
        <f t="shared" si="57"/>
        <v>2.1</v>
      </c>
      <c r="Z102" s="12">
        <f t="shared" si="57"/>
        <v>38675.228329999998</v>
      </c>
    </row>
    <row r="103" spans="1:26" s="11" customFormat="1" ht="59.25" customHeight="1">
      <c r="A103" s="99">
        <v>42</v>
      </c>
      <c r="B103" s="41" t="s">
        <v>66</v>
      </c>
      <c r="C103" s="7" t="s">
        <v>17</v>
      </c>
      <c r="D103" s="29">
        <v>1.5</v>
      </c>
      <c r="E103" s="23">
        <v>39222.435219999999</v>
      </c>
      <c r="F103" s="22">
        <f>D103</f>
        <v>1.5</v>
      </c>
      <c r="G103" s="23">
        <f>E103</f>
        <v>39222.435219999999</v>
      </c>
      <c r="H103" s="23">
        <f t="shared" si="64"/>
        <v>34515.742335894909</v>
      </c>
      <c r="I103" s="23">
        <f>G103-H103</f>
        <v>4706.6928841050903</v>
      </c>
      <c r="J103" s="23"/>
      <c r="K103" s="45"/>
      <c r="L103" s="34"/>
      <c r="M103" s="34"/>
      <c r="N103" s="34"/>
      <c r="O103" s="88"/>
      <c r="P103" s="34"/>
      <c r="Q103" s="34"/>
      <c r="R103" s="34"/>
      <c r="S103" s="34"/>
      <c r="T103" s="34"/>
      <c r="U103" s="78"/>
      <c r="W103" s="11" t="s">
        <v>34</v>
      </c>
      <c r="Y103" s="12">
        <f t="shared" si="57"/>
        <v>1.5</v>
      </c>
      <c r="Z103" s="12">
        <f t="shared" si="57"/>
        <v>39222.435219999999</v>
      </c>
    </row>
    <row r="104" spans="1:26" s="11" customFormat="1" ht="44.25" customHeight="1">
      <c r="A104" s="99">
        <v>43</v>
      </c>
      <c r="B104" s="25" t="s">
        <v>129</v>
      </c>
      <c r="C104" s="21" t="s">
        <v>28</v>
      </c>
      <c r="D104" s="29">
        <v>5</v>
      </c>
      <c r="E104" s="23">
        <v>200000</v>
      </c>
      <c r="F104" s="22"/>
      <c r="G104" s="23"/>
      <c r="H104" s="23"/>
      <c r="I104" s="23"/>
      <c r="J104" s="23"/>
      <c r="K104" s="22"/>
      <c r="L104" s="23"/>
      <c r="M104" s="23"/>
      <c r="N104" s="23"/>
      <c r="O104" s="88"/>
      <c r="P104" s="22">
        <f>D104</f>
        <v>5</v>
      </c>
      <c r="Q104" s="23">
        <f>E104</f>
        <v>200000</v>
      </c>
      <c r="R104" s="23">
        <f>Q104*0.82</f>
        <v>164000</v>
      </c>
      <c r="S104" s="23">
        <f>Q104-R104</f>
        <v>36000</v>
      </c>
      <c r="T104" s="34"/>
      <c r="U104" s="78"/>
      <c r="Y104" s="12">
        <f t="shared" si="57"/>
        <v>5</v>
      </c>
      <c r="Z104" s="12">
        <f t="shared" si="57"/>
        <v>200000</v>
      </c>
    </row>
    <row r="105" spans="1:26" s="11" customFormat="1" ht="49.5" customHeight="1">
      <c r="A105" s="99">
        <v>44</v>
      </c>
      <c r="B105" s="41" t="s">
        <v>111</v>
      </c>
      <c r="C105" s="71" t="s">
        <v>17</v>
      </c>
      <c r="D105" s="72">
        <v>1.9</v>
      </c>
      <c r="E105" s="73">
        <v>66500</v>
      </c>
      <c r="F105" s="22"/>
      <c r="G105" s="23"/>
      <c r="H105" s="23"/>
      <c r="I105" s="23"/>
      <c r="J105" s="23"/>
      <c r="K105" s="22">
        <f>D105</f>
        <v>1.9</v>
      </c>
      <c r="L105" s="23">
        <f>E105</f>
        <v>66500</v>
      </c>
      <c r="M105" s="23">
        <f t="shared" ref="M105" si="65">L105*0.819999994727603</f>
        <v>54529.999649385602</v>
      </c>
      <c r="N105" s="23">
        <f>L105-M105</f>
        <v>11970.000350614398</v>
      </c>
      <c r="O105" s="88"/>
      <c r="P105" s="34"/>
      <c r="Q105" s="34" t="s">
        <v>27</v>
      </c>
      <c r="R105" s="34"/>
      <c r="S105" s="34"/>
      <c r="T105" s="34"/>
      <c r="U105" s="78"/>
      <c r="Y105" s="12">
        <f t="shared" si="57"/>
        <v>1.9</v>
      </c>
      <c r="Z105" s="12" t="e">
        <f t="shared" si="57"/>
        <v>#VALUE!</v>
      </c>
    </row>
    <row r="106" spans="1:26" s="11" customFormat="1" ht="31.5" customHeight="1">
      <c r="A106" s="21"/>
      <c r="B106" s="19" t="s">
        <v>31</v>
      </c>
      <c r="C106" s="21"/>
      <c r="D106" s="32">
        <f>SUM(D102:D105)</f>
        <v>10.5</v>
      </c>
      <c r="E106" s="32">
        <f>SUM(E102:E105)</f>
        <v>344397.66355</v>
      </c>
      <c r="F106" s="32">
        <f>SUM(F102:F104)</f>
        <v>3.6</v>
      </c>
      <c r="G106" s="32">
        <f>SUM(G102:G104)</f>
        <v>77897.663549999997</v>
      </c>
      <c r="H106" s="32">
        <f>SUM(H102:H104)</f>
        <v>68549.942617765715</v>
      </c>
      <c r="I106" s="32">
        <f>SUM(I102:I104)</f>
        <v>9347.7209322342896</v>
      </c>
      <c r="J106" s="23"/>
      <c r="K106" s="32">
        <f>SUM(K104:K105)</f>
        <v>1.9</v>
      </c>
      <c r="L106" s="32">
        <f>SUM(L104:L105)</f>
        <v>66500</v>
      </c>
      <c r="M106" s="32">
        <f>SUM(M104:M105)</f>
        <v>54529.999649385602</v>
      </c>
      <c r="N106" s="32">
        <f>SUM(N104:N105)</f>
        <v>11970.000350614398</v>
      </c>
      <c r="O106" s="88"/>
      <c r="P106" s="23">
        <f>P104</f>
        <v>5</v>
      </c>
      <c r="Q106" s="23">
        <f>Q104</f>
        <v>200000</v>
      </c>
      <c r="R106" s="23">
        <f t="shared" ref="R106:S106" si="66">R104</f>
        <v>164000</v>
      </c>
      <c r="S106" s="23">
        <f t="shared" si="66"/>
        <v>36000</v>
      </c>
      <c r="T106" s="34"/>
      <c r="U106" s="78"/>
      <c r="Y106" s="12">
        <f t="shared" si="57"/>
        <v>10.5</v>
      </c>
      <c r="Z106" s="12">
        <f t="shared" si="57"/>
        <v>344397.66355</v>
      </c>
    </row>
    <row r="107" spans="1:26" s="11" customFormat="1" ht="35.25" hidden="1" customHeight="1">
      <c r="A107" s="100"/>
      <c r="B107" s="19" t="s">
        <v>32</v>
      </c>
      <c r="C107" s="21"/>
      <c r="D107" s="26">
        <f>F107+K107+P107</f>
        <v>0</v>
      </c>
      <c r="E107" s="23">
        <f>G107+L107+Q107</f>
        <v>0</v>
      </c>
      <c r="F107" s="23"/>
      <c r="G107" s="23"/>
      <c r="H107" s="23"/>
      <c r="I107" s="23"/>
      <c r="J107" s="23"/>
      <c r="K107" s="45"/>
      <c r="L107" s="34"/>
      <c r="M107" s="34"/>
      <c r="N107" s="34"/>
      <c r="O107" s="88"/>
      <c r="P107" s="34"/>
      <c r="Q107" s="34"/>
      <c r="R107" s="34"/>
      <c r="S107" s="34"/>
      <c r="T107" s="34"/>
      <c r="U107" s="78"/>
      <c r="Y107" s="12">
        <f t="shared" si="57"/>
        <v>0</v>
      </c>
      <c r="Z107" s="12">
        <f t="shared" si="57"/>
        <v>0</v>
      </c>
    </row>
    <row r="108" spans="1:26" s="11" customFormat="1" ht="34.5" customHeight="1">
      <c r="A108" s="134" t="s">
        <v>80</v>
      </c>
      <c r="B108" s="134"/>
      <c r="C108" s="134"/>
      <c r="D108" s="27">
        <f>SUM(D106:D107)</f>
        <v>10.5</v>
      </c>
      <c r="E108" s="42">
        <f>SUM(E106:E107)</f>
        <v>344397.66355</v>
      </c>
      <c r="F108" s="27">
        <f>SUM(F106:F107)</f>
        <v>3.6</v>
      </c>
      <c r="G108" s="42">
        <f t="shared" ref="G108:I108" si="67">SUM(G106:G107)</f>
        <v>77897.663549999997</v>
      </c>
      <c r="H108" s="42">
        <f t="shared" si="67"/>
        <v>68549.942617765715</v>
      </c>
      <c r="I108" s="42">
        <f t="shared" si="67"/>
        <v>9347.7209322342896</v>
      </c>
      <c r="J108" s="42"/>
      <c r="K108" s="27">
        <f>SUM(K106:K107)</f>
        <v>1.9</v>
      </c>
      <c r="L108" s="42">
        <f t="shared" ref="L108:N108" si="68">SUM(L106:L107)</f>
        <v>66500</v>
      </c>
      <c r="M108" s="42">
        <f t="shared" si="68"/>
        <v>54529.999649385602</v>
      </c>
      <c r="N108" s="42">
        <f t="shared" si="68"/>
        <v>11970.000350614398</v>
      </c>
      <c r="O108" s="88"/>
      <c r="P108" s="27">
        <f>SUM(P106:P107)</f>
        <v>5</v>
      </c>
      <c r="Q108" s="42">
        <f t="shared" ref="Q108:S108" si="69">SUM(Q106:Q107)</f>
        <v>200000</v>
      </c>
      <c r="R108" s="42">
        <f t="shared" si="69"/>
        <v>164000</v>
      </c>
      <c r="S108" s="42">
        <f t="shared" si="69"/>
        <v>36000</v>
      </c>
      <c r="T108" s="34"/>
      <c r="U108" s="79">
        <f>F108+K108+P108</f>
        <v>10.5</v>
      </c>
      <c r="V108" s="12">
        <f>G108+L108+Q108</f>
        <v>344397.66355</v>
      </c>
      <c r="Y108" s="12">
        <f t="shared" si="57"/>
        <v>10.5</v>
      </c>
      <c r="Z108" s="12">
        <f t="shared" si="57"/>
        <v>344397.66355</v>
      </c>
    </row>
    <row r="109" spans="1:26" s="11" customFormat="1" ht="31.5" customHeight="1">
      <c r="A109" s="126" t="s">
        <v>81</v>
      </c>
      <c r="B109" s="126"/>
      <c r="C109" s="126"/>
      <c r="D109" s="29"/>
      <c r="E109" s="42"/>
      <c r="F109" s="23"/>
      <c r="G109" s="23"/>
      <c r="H109" s="23"/>
      <c r="I109" s="23"/>
      <c r="J109" s="23"/>
      <c r="K109" s="45"/>
      <c r="L109" s="34"/>
      <c r="M109" s="34"/>
      <c r="N109" s="34"/>
      <c r="O109" s="88"/>
      <c r="P109" s="34"/>
      <c r="Q109" s="34"/>
      <c r="R109" s="34"/>
      <c r="S109" s="34"/>
      <c r="T109" s="34"/>
      <c r="U109" s="78"/>
      <c r="Y109" s="12">
        <f t="shared" si="57"/>
        <v>0</v>
      </c>
      <c r="Z109" s="12">
        <f t="shared" si="57"/>
        <v>0</v>
      </c>
    </row>
    <row r="110" spans="1:26" s="11" customFormat="1" ht="45.75" customHeight="1">
      <c r="A110" s="99">
        <v>45</v>
      </c>
      <c r="B110" s="33" t="s">
        <v>134</v>
      </c>
      <c r="C110" s="21" t="s">
        <v>17</v>
      </c>
      <c r="D110" s="29">
        <v>1.2</v>
      </c>
      <c r="E110" s="23">
        <v>41183.639380000001</v>
      </c>
      <c r="F110" s="22">
        <f>D110</f>
        <v>1.2</v>
      </c>
      <c r="G110" s="23">
        <f>E110</f>
        <v>41183.639380000001</v>
      </c>
      <c r="H110" s="23">
        <f t="shared" ref="H110" si="70">G110*0.879999983231406</f>
        <v>36241.601963808273</v>
      </c>
      <c r="I110" s="23">
        <f>G110-H110</f>
        <v>4942.037416191728</v>
      </c>
      <c r="J110" s="23"/>
      <c r="K110" s="45"/>
      <c r="L110" s="34"/>
      <c r="M110" s="34"/>
      <c r="N110" s="34"/>
      <c r="O110" s="88"/>
      <c r="P110" s="34"/>
      <c r="Q110" s="34"/>
      <c r="R110" s="34"/>
      <c r="S110" s="34"/>
      <c r="T110" s="34"/>
      <c r="U110" s="78"/>
      <c r="Y110" s="12">
        <f t="shared" si="57"/>
        <v>1.2</v>
      </c>
      <c r="Z110" s="12">
        <f t="shared" si="57"/>
        <v>41183.639380000001</v>
      </c>
    </row>
    <row r="111" spans="1:26" s="11" customFormat="1" ht="45" customHeight="1">
      <c r="A111" s="99">
        <v>46</v>
      </c>
      <c r="B111" s="33" t="s">
        <v>98</v>
      </c>
      <c r="C111" s="21" t="s">
        <v>28</v>
      </c>
      <c r="D111" s="29">
        <v>6.85</v>
      </c>
      <c r="E111" s="23">
        <v>274000</v>
      </c>
      <c r="F111" s="22"/>
      <c r="G111" s="23"/>
      <c r="H111" s="23"/>
      <c r="I111" s="23"/>
      <c r="J111" s="23"/>
      <c r="K111" s="22"/>
      <c r="L111" s="23"/>
      <c r="M111" s="23"/>
      <c r="N111" s="23"/>
      <c r="O111" s="88"/>
      <c r="P111" s="106">
        <f>D111</f>
        <v>6.85</v>
      </c>
      <c r="Q111" s="58">
        <f>E111</f>
        <v>274000</v>
      </c>
      <c r="R111" s="23">
        <f>Q111*0.82</f>
        <v>224680</v>
      </c>
      <c r="S111" s="23">
        <f>Q111-R111</f>
        <v>49320</v>
      </c>
      <c r="T111" s="34"/>
      <c r="U111" s="78"/>
      <c r="Y111" s="12">
        <f t="shared" si="57"/>
        <v>6.85</v>
      </c>
      <c r="Z111" s="12">
        <f t="shared" si="57"/>
        <v>274000</v>
      </c>
    </row>
    <row r="112" spans="1:26" s="11" customFormat="1" ht="50.25" customHeight="1">
      <c r="A112" s="99">
        <v>47</v>
      </c>
      <c r="B112" s="33" t="s">
        <v>112</v>
      </c>
      <c r="C112" s="21" t="s">
        <v>17</v>
      </c>
      <c r="D112" s="29">
        <v>3.9</v>
      </c>
      <c r="E112" s="23">
        <v>136500</v>
      </c>
      <c r="F112" s="22"/>
      <c r="G112" s="23"/>
      <c r="H112" s="23"/>
      <c r="I112" s="23"/>
      <c r="J112" s="23"/>
      <c r="K112" s="22">
        <f>D112</f>
        <v>3.9</v>
      </c>
      <c r="L112" s="23">
        <f>E112</f>
        <v>136500</v>
      </c>
      <c r="M112" s="23">
        <f t="shared" ref="M112" si="71">L112*0.819999994727603</f>
        <v>111929.9992803178</v>
      </c>
      <c r="N112" s="23">
        <f>L112-M112</f>
        <v>24570.000719682197</v>
      </c>
      <c r="O112" s="88"/>
      <c r="P112" s="34"/>
      <c r="Q112" s="34"/>
      <c r="R112" s="34"/>
      <c r="S112" s="34"/>
      <c r="T112" s="34"/>
      <c r="U112" s="78"/>
      <c r="Y112" s="12">
        <f t="shared" si="57"/>
        <v>3.9</v>
      </c>
      <c r="Z112" s="12">
        <f t="shared" si="57"/>
        <v>136500</v>
      </c>
    </row>
    <row r="113" spans="1:26" s="11" customFormat="1" ht="30.75" customHeight="1">
      <c r="A113" s="21"/>
      <c r="B113" s="19" t="s">
        <v>31</v>
      </c>
      <c r="C113" s="21"/>
      <c r="D113" s="32">
        <f>SUM(D110:D112)</f>
        <v>11.95</v>
      </c>
      <c r="E113" s="32">
        <f>SUM(E110:E112)</f>
        <v>451683.63938000001</v>
      </c>
      <c r="F113" s="32">
        <f>SUM(F110:F111)</f>
        <v>1.2</v>
      </c>
      <c r="G113" s="32">
        <f>SUM(G110:G111)</f>
        <v>41183.639380000001</v>
      </c>
      <c r="H113" s="32">
        <f>SUM(H110:H111)</f>
        <v>36241.601963808273</v>
      </c>
      <c r="I113" s="32">
        <f>SUM(I110:I111)</f>
        <v>4942.037416191728</v>
      </c>
      <c r="J113" s="23"/>
      <c r="K113" s="32">
        <f>SUM(K111:K112)</f>
        <v>3.9</v>
      </c>
      <c r="L113" s="32">
        <f>SUM(L111:L112)</f>
        <v>136500</v>
      </c>
      <c r="M113" s="32">
        <f>SUM(M111:M112)</f>
        <v>111929.9992803178</v>
      </c>
      <c r="N113" s="32">
        <f>SUM(N111:N112)</f>
        <v>24570.000719682197</v>
      </c>
      <c r="O113" s="88"/>
      <c r="P113" s="32">
        <f>P111</f>
        <v>6.85</v>
      </c>
      <c r="Q113" s="32">
        <f t="shared" ref="Q113:S113" si="72">Q111</f>
        <v>274000</v>
      </c>
      <c r="R113" s="32">
        <f t="shared" si="72"/>
        <v>224680</v>
      </c>
      <c r="S113" s="32">
        <f t="shared" si="72"/>
        <v>49320</v>
      </c>
      <c r="T113" s="34"/>
      <c r="U113" s="78"/>
      <c r="Y113" s="12">
        <f t="shared" si="57"/>
        <v>11.95</v>
      </c>
      <c r="Z113" s="12">
        <f t="shared" si="57"/>
        <v>451683.63938000001</v>
      </c>
    </row>
    <row r="114" spans="1:26" s="11" customFormat="1" ht="30" hidden="1" customHeight="1">
      <c r="A114" s="100"/>
      <c r="B114" s="19" t="s">
        <v>32</v>
      </c>
      <c r="C114" s="21"/>
      <c r="D114" s="26"/>
      <c r="E114" s="23"/>
      <c r="F114" s="23"/>
      <c r="G114" s="23"/>
      <c r="H114" s="23"/>
      <c r="I114" s="23"/>
      <c r="J114" s="23"/>
      <c r="K114" s="45"/>
      <c r="L114" s="34"/>
      <c r="M114" s="34"/>
      <c r="N114" s="34"/>
      <c r="O114" s="88"/>
      <c r="P114" s="27"/>
      <c r="Q114" s="42"/>
      <c r="R114" s="42"/>
      <c r="S114" s="42"/>
      <c r="T114" s="34"/>
      <c r="U114" s="78"/>
    </row>
    <row r="115" spans="1:26" s="11" customFormat="1" ht="33" customHeight="1">
      <c r="A115" s="134" t="s">
        <v>82</v>
      </c>
      <c r="B115" s="134"/>
      <c r="C115" s="134"/>
      <c r="D115" s="27">
        <f>SUM(D113:D114)</f>
        <v>11.95</v>
      </c>
      <c r="E115" s="42">
        <f>SUM(E113:E114)</f>
        <v>451683.63938000001</v>
      </c>
      <c r="F115" s="27">
        <f>SUM(F113:F114)</f>
        <v>1.2</v>
      </c>
      <c r="G115" s="42">
        <f t="shared" ref="G115:I115" si="73">SUM(G113:G114)</f>
        <v>41183.639380000001</v>
      </c>
      <c r="H115" s="42">
        <f t="shared" si="73"/>
        <v>36241.601963808273</v>
      </c>
      <c r="I115" s="42">
        <f t="shared" si="73"/>
        <v>4942.037416191728</v>
      </c>
      <c r="J115" s="42"/>
      <c r="K115" s="27">
        <f>SUM(K113:K114)</f>
        <v>3.9</v>
      </c>
      <c r="L115" s="42">
        <f t="shared" ref="L115:N115" si="74">SUM(L113:L114)</f>
        <v>136500</v>
      </c>
      <c r="M115" s="42">
        <f t="shared" si="74"/>
        <v>111929.9992803178</v>
      </c>
      <c r="N115" s="42">
        <f t="shared" si="74"/>
        <v>24570.000719682197</v>
      </c>
      <c r="O115" s="88"/>
      <c r="P115" s="27">
        <f>P113</f>
        <v>6.85</v>
      </c>
      <c r="Q115" s="42">
        <f t="shared" ref="Q115:S115" si="75">Q113</f>
        <v>274000</v>
      </c>
      <c r="R115" s="42">
        <f t="shared" si="75"/>
        <v>224680</v>
      </c>
      <c r="S115" s="42">
        <f t="shared" si="75"/>
        <v>49320</v>
      </c>
      <c r="T115" s="34"/>
      <c r="U115" s="79">
        <f>F115+K115+P115</f>
        <v>11.95</v>
      </c>
      <c r="V115" s="12">
        <f>G115+L115+Q115</f>
        <v>451683.63938000001</v>
      </c>
      <c r="Y115" s="12">
        <f t="shared" ref="Y115:Z153" si="76">F115+K115+P115</f>
        <v>11.95</v>
      </c>
      <c r="Z115" s="12">
        <f t="shared" si="76"/>
        <v>451683.63938000001</v>
      </c>
    </row>
    <row r="116" spans="1:26" s="11" customFormat="1" ht="36.75" customHeight="1">
      <c r="A116" s="126" t="s">
        <v>68</v>
      </c>
      <c r="B116" s="126"/>
      <c r="C116" s="126"/>
      <c r="D116" s="29"/>
      <c r="E116" s="42"/>
      <c r="F116" s="23"/>
      <c r="G116" s="23"/>
      <c r="H116" s="23"/>
      <c r="I116" s="23"/>
      <c r="J116" s="23"/>
      <c r="K116" s="45"/>
      <c r="L116" s="34"/>
      <c r="M116" s="34"/>
      <c r="N116" s="34"/>
      <c r="O116" s="88"/>
      <c r="P116" s="34"/>
      <c r="Q116" s="34"/>
      <c r="R116" s="34"/>
      <c r="S116" s="34"/>
      <c r="T116" s="34"/>
      <c r="U116" s="78"/>
      <c r="Y116" s="12">
        <f t="shared" si="76"/>
        <v>0</v>
      </c>
      <c r="Z116" s="12">
        <f t="shared" si="76"/>
        <v>0</v>
      </c>
    </row>
    <row r="117" spans="1:26" s="11" customFormat="1" ht="75.75" customHeight="1">
      <c r="A117" s="99">
        <v>48</v>
      </c>
      <c r="B117" s="33" t="s">
        <v>67</v>
      </c>
      <c r="C117" s="21" t="s">
        <v>17</v>
      </c>
      <c r="D117" s="29">
        <f>17.5-11.4</f>
        <v>6.1</v>
      </c>
      <c r="E117" s="23">
        <v>143092.21935999999</v>
      </c>
      <c r="F117" s="22">
        <f>D117</f>
        <v>6.1</v>
      </c>
      <c r="G117" s="23">
        <f>E117</f>
        <v>143092.21935999999</v>
      </c>
      <c r="H117" s="23">
        <f>G117*0.879999983231406</f>
        <v>125921.15063734466</v>
      </c>
      <c r="I117" s="23">
        <f>G117-H117</f>
        <v>17171.068722655327</v>
      </c>
      <c r="J117" s="23"/>
      <c r="K117" s="22"/>
      <c r="L117" s="23"/>
      <c r="M117" s="23"/>
      <c r="N117" s="23"/>
      <c r="O117" s="89"/>
      <c r="P117" s="23"/>
      <c r="Q117" s="23"/>
      <c r="R117" s="23"/>
      <c r="S117" s="23"/>
      <c r="T117" s="23"/>
      <c r="U117" s="79"/>
      <c r="Y117" s="12">
        <f t="shared" si="76"/>
        <v>6.1</v>
      </c>
      <c r="Z117" s="12">
        <f t="shared" si="76"/>
        <v>143092.21935999999</v>
      </c>
    </row>
    <row r="118" spans="1:26" s="11" customFormat="1" ht="48.75" customHeight="1">
      <c r="A118" s="99">
        <v>49</v>
      </c>
      <c r="B118" s="33" t="s">
        <v>142</v>
      </c>
      <c r="C118" s="71" t="s">
        <v>17</v>
      </c>
      <c r="D118" s="29">
        <v>12.9</v>
      </c>
      <c r="E118" s="23">
        <f>D118*35000+14475.94025+1907.8+4630.4</f>
        <v>472514.14025</v>
      </c>
      <c r="F118" s="22"/>
      <c r="G118" s="23"/>
      <c r="H118" s="23"/>
      <c r="I118" s="23"/>
      <c r="J118" s="23"/>
      <c r="K118" s="22">
        <f>D118</f>
        <v>12.9</v>
      </c>
      <c r="L118" s="23">
        <f>E118</f>
        <v>472514.14025</v>
      </c>
      <c r="M118" s="23">
        <f t="shared" ref="M118" si="77">L118*0.819999994727603</f>
        <v>387461.59251371783</v>
      </c>
      <c r="N118" s="23">
        <f>L118-M118</f>
        <v>85052.547736282169</v>
      </c>
      <c r="O118" s="89"/>
      <c r="P118" s="23"/>
      <c r="Q118" s="23"/>
      <c r="R118" s="23"/>
      <c r="S118" s="23"/>
      <c r="T118" s="23"/>
      <c r="U118" s="79"/>
      <c r="W118" s="11" t="s">
        <v>46</v>
      </c>
      <c r="Y118" s="12">
        <f t="shared" si="76"/>
        <v>12.9</v>
      </c>
      <c r="Z118" s="12">
        <f t="shared" si="76"/>
        <v>472514.14025</v>
      </c>
    </row>
    <row r="119" spans="1:26" s="11" customFormat="1" ht="54" customHeight="1">
      <c r="A119" s="99">
        <v>50</v>
      </c>
      <c r="B119" s="33" t="s">
        <v>163</v>
      </c>
      <c r="C119" s="21" t="s">
        <v>17</v>
      </c>
      <c r="D119" s="29">
        <v>4.5999999999999996</v>
      </c>
      <c r="E119" s="23">
        <v>161000</v>
      </c>
      <c r="F119" s="22"/>
      <c r="G119" s="23"/>
      <c r="H119" s="23"/>
      <c r="I119" s="23"/>
      <c r="J119" s="23"/>
      <c r="K119" s="22"/>
      <c r="L119" s="23"/>
      <c r="M119" s="23"/>
      <c r="N119" s="23"/>
      <c r="O119" s="89"/>
      <c r="P119" s="22">
        <f>D119</f>
        <v>4.5999999999999996</v>
      </c>
      <c r="Q119" s="23">
        <f>E119</f>
        <v>161000</v>
      </c>
      <c r="R119" s="23">
        <f>Q119*0.82</f>
        <v>132020</v>
      </c>
      <c r="S119" s="23">
        <f>Q119-R119</f>
        <v>28980</v>
      </c>
      <c r="T119" s="23"/>
      <c r="U119" s="79"/>
      <c r="Y119" s="12">
        <f t="shared" si="76"/>
        <v>4.5999999999999996</v>
      </c>
      <c r="Z119" s="12">
        <f t="shared" si="76"/>
        <v>161000</v>
      </c>
    </row>
    <row r="120" spans="1:26" s="11" customFormat="1" ht="35.25" customHeight="1">
      <c r="A120" s="21"/>
      <c r="B120" s="19" t="s">
        <v>31</v>
      </c>
      <c r="C120" s="21"/>
      <c r="D120" s="32">
        <f>SUM(D117:D119)</f>
        <v>23.6</v>
      </c>
      <c r="E120" s="32">
        <f>SUM(E117:E119)</f>
        <v>776606.35960999993</v>
      </c>
      <c r="F120" s="32">
        <f>SUM(F117:F117)</f>
        <v>6.1</v>
      </c>
      <c r="G120" s="32">
        <f>SUM(G117:G117)</f>
        <v>143092.21935999999</v>
      </c>
      <c r="H120" s="32">
        <f>SUM(H117:H117)</f>
        <v>125921.15063734466</v>
      </c>
      <c r="I120" s="32">
        <f>SUM(I117:I117)</f>
        <v>17171.068722655327</v>
      </c>
      <c r="J120" s="23"/>
      <c r="K120" s="32">
        <f>K118</f>
        <v>12.9</v>
      </c>
      <c r="L120" s="32">
        <f t="shared" ref="L120:N120" si="78">L118</f>
        <v>472514.14025</v>
      </c>
      <c r="M120" s="32">
        <f t="shared" si="78"/>
        <v>387461.59251371783</v>
      </c>
      <c r="N120" s="32">
        <f t="shared" si="78"/>
        <v>85052.547736282169</v>
      </c>
      <c r="O120" s="88"/>
      <c r="P120" s="23">
        <f>SUM(P119)</f>
        <v>4.5999999999999996</v>
      </c>
      <c r="Q120" s="23">
        <f>SUM(Q119)</f>
        <v>161000</v>
      </c>
      <c r="R120" s="23">
        <f>SUM(R119)</f>
        <v>132020</v>
      </c>
      <c r="S120" s="23">
        <f>SUM(S119)</f>
        <v>28980</v>
      </c>
      <c r="T120" s="34"/>
      <c r="U120" s="78"/>
      <c r="Y120" s="12">
        <f t="shared" si="76"/>
        <v>23.6</v>
      </c>
      <c r="Z120" s="12">
        <f t="shared" si="76"/>
        <v>776606.35960999993</v>
      </c>
    </row>
    <row r="121" spans="1:26" s="11" customFormat="1" ht="42" customHeight="1">
      <c r="A121" s="100"/>
      <c r="B121" s="19" t="s">
        <v>32</v>
      </c>
      <c r="C121" s="21"/>
      <c r="D121" s="26">
        <f>F121+K121+P121</f>
        <v>4.26</v>
      </c>
      <c r="E121" s="23">
        <f>G121+L121+Q121</f>
        <v>96958.400999999998</v>
      </c>
      <c r="F121" s="23">
        <v>4.26</v>
      </c>
      <c r="G121" s="23">
        <v>96958.400999999998</v>
      </c>
      <c r="H121" s="23">
        <v>81057.2</v>
      </c>
      <c r="I121" s="23">
        <f>G121-H121-J121</f>
        <v>11053.501</v>
      </c>
      <c r="J121" s="23">
        <v>4847.7</v>
      </c>
      <c r="K121" s="45"/>
      <c r="L121" s="45"/>
      <c r="M121" s="45"/>
      <c r="N121" s="45"/>
      <c r="O121" s="88"/>
      <c r="P121" s="34"/>
      <c r="Q121" s="34"/>
      <c r="R121" s="34"/>
      <c r="S121" s="34"/>
      <c r="T121" s="34"/>
      <c r="U121" s="78"/>
      <c r="W121" s="11" t="s">
        <v>30</v>
      </c>
      <c r="Y121" s="12">
        <f t="shared" si="76"/>
        <v>4.26</v>
      </c>
      <c r="Z121" s="12">
        <f t="shared" si="76"/>
        <v>96958.400999999998</v>
      </c>
    </row>
    <row r="122" spans="1:26" s="11" customFormat="1" ht="51" customHeight="1">
      <c r="A122" s="134" t="s">
        <v>83</v>
      </c>
      <c r="B122" s="134"/>
      <c r="C122" s="134"/>
      <c r="D122" s="27">
        <f>SUM(D120:D121)</f>
        <v>27.86</v>
      </c>
      <c r="E122" s="42">
        <f>SUM(E120:E121)</f>
        <v>873564.76060999988</v>
      </c>
      <c r="F122" s="27">
        <f>SUM(F120:F121)</f>
        <v>10.36</v>
      </c>
      <c r="G122" s="42">
        <f t="shared" ref="G122:J122" si="79">SUM(G120:G121)</f>
        <v>240050.62036</v>
      </c>
      <c r="H122" s="42">
        <f t="shared" si="79"/>
        <v>206978.35063734464</v>
      </c>
      <c r="I122" s="42">
        <f t="shared" si="79"/>
        <v>28224.569722655327</v>
      </c>
      <c r="J122" s="42">
        <f t="shared" si="79"/>
        <v>4847.7</v>
      </c>
      <c r="K122" s="27">
        <f>K120</f>
        <v>12.9</v>
      </c>
      <c r="L122" s="27">
        <f t="shared" ref="L122:N122" si="80">L120</f>
        <v>472514.14025</v>
      </c>
      <c r="M122" s="27">
        <f t="shared" si="80"/>
        <v>387461.59251371783</v>
      </c>
      <c r="N122" s="27">
        <f t="shared" si="80"/>
        <v>85052.547736282169</v>
      </c>
      <c r="O122" s="88"/>
      <c r="P122" s="27">
        <f>SUM(P120:P121)</f>
        <v>4.5999999999999996</v>
      </c>
      <c r="Q122" s="42">
        <f t="shared" ref="Q122:T122" si="81">SUM(Q120:Q121)</f>
        <v>161000</v>
      </c>
      <c r="R122" s="42">
        <f t="shared" si="81"/>
        <v>132020</v>
      </c>
      <c r="S122" s="42">
        <f t="shared" si="81"/>
        <v>28980</v>
      </c>
      <c r="T122" s="42">
        <f t="shared" si="81"/>
        <v>0</v>
      </c>
      <c r="U122" s="79">
        <f>F122+K122+P122</f>
        <v>27.86</v>
      </c>
      <c r="V122" s="12">
        <f>G122+L122+Q122</f>
        <v>873564.76061</v>
      </c>
      <c r="Y122" s="12">
        <f t="shared" si="76"/>
        <v>27.86</v>
      </c>
      <c r="Z122" s="12">
        <f t="shared" si="76"/>
        <v>873564.76061</v>
      </c>
    </row>
    <row r="123" spans="1:26" s="11" customFormat="1" ht="36.75" customHeight="1">
      <c r="A123" s="126" t="s">
        <v>99</v>
      </c>
      <c r="B123" s="126"/>
      <c r="C123" s="126"/>
      <c r="D123" s="29"/>
      <c r="E123" s="42"/>
      <c r="F123" s="23"/>
      <c r="G123" s="23"/>
      <c r="H123" s="23"/>
      <c r="I123" s="23"/>
      <c r="J123" s="23"/>
      <c r="K123" s="45"/>
      <c r="L123" s="34"/>
      <c r="M123" s="34"/>
      <c r="N123" s="34"/>
      <c r="O123" s="88"/>
      <c r="P123" s="34"/>
      <c r="Q123" s="34"/>
      <c r="R123" s="34"/>
      <c r="S123" s="34"/>
      <c r="T123" s="34"/>
      <c r="U123" s="78"/>
      <c r="Y123" s="12">
        <f t="shared" si="76"/>
        <v>0</v>
      </c>
      <c r="Z123" s="12">
        <f t="shared" si="76"/>
        <v>0</v>
      </c>
    </row>
    <row r="124" spans="1:26" s="11" customFormat="1" ht="51" customHeight="1">
      <c r="A124" s="99">
        <v>51</v>
      </c>
      <c r="B124" s="33" t="s">
        <v>133</v>
      </c>
      <c r="C124" s="21" t="s">
        <v>17</v>
      </c>
      <c r="D124" s="29">
        <v>3.1</v>
      </c>
      <c r="E124" s="23">
        <v>93682.03010399999</v>
      </c>
      <c r="F124" s="23"/>
      <c r="G124" s="23"/>
      <c r="H124" s="23"/>
      <c r="I124" s="23"/>
      <c r="J124" s="23"/>
      <c r="K124" s="29">
        <f>D124</f>
        <v>3.1</v>
      </c>
      <c r="L124" s="32">
        <f>E124</f>
        <v>93682.03010399999</v>
      </c>
      <c r="M124" s="23">
        <f t="shared" ref="M124" si="82">L124*0.819999994727603</f>
        <v>76819.264191351132</v>
      </c>
      <c r="N124" s="23">
        <f>L124-M124</f>
        <v>16862.765912648858</v>
      </c>
      <c r="O124" s="88"/>
      <c r="P124" s="34"/>
      <c r="Q124" s="34"/>
      <c r="R124" s="34"/>
      <c r="S124" s="34"/>
      <c r="T124" s="34"/>
      <c r="U124" s="78"/>
      <c r="Y124" s="12">
        <f t="shared" si="76"/>
        <v>3.1</v>
      </c>
      <c r="Z124" s="12">
        <f t="shared" si="76"/>
        <v>93682.03010399999</v>
      </c>
    </row>
    <row r="125" spans="1:26" s="11" customFormat="1" ht="56.25" customHeight="1">
      <c r="A125" s="99">
        <v>52</v>
      </c>
      <c r="B125" s="33" t="s">
        <v>120</v>
      </c>
      <c r="C125" s="21" t="s">
        <v>17</v>
      </c>
      <c r="D125" s="29">
        <v>5.0999999999999996</v>
      </c>
      <c r="E125" s="23">
        <v>135771.83314</v>
      </c>
      <c r="F125" s="23"/>
      <c r="G125" s="23"/>
      <c r="H125" s="23"/>
      <c r="I125" s="23"/>
      <c r="J125" s="23"/>
      <c r="K125" s="29"/>
      <c r="L125" s="32"/>
      <c r="M125" s="23"/>
      <c r="N125" s="23"/>
      <c r="O125" s="88"/>
      <c r="P125" s="22">
        <f>D125</f>
        <v>5.0999999999999996</v>
      </c>
      <c r="Q125" s="23">
        <f>E125</f>
        <v>135771.83314</v>
      </c>
      <c r="R125" s="23">
        <f>Q125*0.82</f>
        <v>111332.9031748</v>
      </c>
      <c r="S125" s="23">
        <f>Q125-R125</f>
        <v>24438.929965200005</v>
      </c>
      <c r="T125" s="34"/>
      <c r="U125" s="78"/>
      <c r="Y125" s="12">
        <f t="shared" si="76"/>
        <v>5.0999999999999996</v>
      </c>
      <c r="Z125" s="12">
        <f t="shared" si="76"/>
        <v>135771.83314</v>
      </c>
    </row>
    <row r="126" spans="1:26" s="11" customFormat="1" ht="46.5" customHeight="1">
      <c r="A126" s="99">
        <v>53</v>
      </c>
      <c r="B126" s="33" t="s">
        <v>150</v>
      </c>
      <c r="C126" s="21" t="s">
        <v>17</v>
      </c>
      <c r="D126" s="29">
        <v>6</v>
      </c>
      <c r="E126" s="23">
        <v>210000</v>
      </c>
      <c r="F126" s="23"/>
      <c r="G126" s="23"/>
      <c r="H126" s="23"/>
      <c r="I126" s="23"/>
      <c r="J126" s="23"/>
      <c r="K126" s="29"/>
      <c r="L126" s="32"/>
      <c r="M126" s="23"/>
      <c r="N126" s="23"/>
      <c r="O126" s="88"/>
      <c r="P126" s="22">
        <f>D126</f>
        <v>6</v>
      </c>
      <c r="Q126" s="23">
        <f>E126</f>
        <v>210000</v>
      </c>
      <c r="R126" s="23">
        <f t="shared" ref="R126" si="83">Q126*0.819999994727603</f>
        <v>172199.99889279663</v>
      </c>
      <c r="S126" s="23">
        <f>Q126-R126</f>
        <v>37800.001107203367</v>
      </c>
      <c r="T126" s="34"/>
      <c r="U126" s="78"/>
      <c r="Y126" s="12">
        <f t="shared" si="76"/>
        <v>6</v>
      </c>
      <c r="Z126" s="12">
        <f t="shared" si="76"/>
        <v>210000</v>
      </c>
    </row>
    <row r="127" spans="1:26" s="11" customFormat="1" ht="28.5" customHeight="1">
      <c r="A127" s="21"/>
      <c r="B127" s="19" t="s">
        <v>31</v>
      </c>
      <c r="C127" s="21"/>
      <c r="D127" s="32">
        <f>SUBTOTAL(9,D124:D126)</f>
        <v>14.2</v>
      </c>
      <c r="E127" s="32">
        <f>SUBTOTAL(9,E124:E126)</f>
        <v>439453.86324400001</v>
      </c>
      <c r="F127" s="32"/>
      <c r="G127" s="32"/>
      <c r="H127" s="32"/>
      <c r="I127" s="32"/>
      <c r="J127" s="23"/>
      <c r="K127" s="32">
        <f>SUM(K124:K124)</f>
        <v>3.1</v>
      </c>
      <c r="L127" s="32">
        <f>SUM(L124:L124)</f>
        <v>93682.03010399999</v>
      </c>
      <c r="M127" s="32">
        <f>SUM(M124:M124)</f>
        <v>76819.264191351132</v>
      </c>
      <c r="N127" s="32">
        <f>SUM(N124:N124)</f>
        <v>16862.765912648858</v>
      </c>
      <c r="O127" s="88"/>
      <c r="P127" s="23">
        <f>SUM(P125)+P126</f>
        <v>11.1</v>
      </c>
      <c r="Q127" s="23">
        <f t="shared" ref="Q127:S127" si="84">SUM(Q125)+Q126</f>
        <v>345771.83314</v>
      </c>
      <c r="R127" s="23">
        <f t="shared" si="84"/>
        <v>283532.90206759662</v>
      </c>
      <c r="S127" s="23">
        <f t="shared" si="84"/>
        <v>62238.931072403371</v>
      </c>
      <c r="T127" s="34"/>
      <c r="U127" s="78"/>
      <c r="Y127" s="12">
        <f t="shared" si="76"/>
        <v>14.2</v>
      </c>
      <c r="Z127" s="12">
        <f t="shared" si="76"/>
        <v>439453.86324400001</v>
      </c>
    </row>
    <row r="128" spans="1:26" s="11" customFormat="1" ht="29.25" customHeight="1">
      <c r="A128" s="100"/>
      <c r="B128" s="19" t="s">
        <v>32</v>
      </c>
      <c r="C128" s="21"/>
      <c r="D128" s="26">
        <f>F128+K128+P128</f>
        <v>5.5352999999999994</v>
      </c>
      <c r="E128" s="23">
        <f>G128+L128+Q128</f>
        <v>145158.1</v>
      </c>
      <c r="F128" s="23"/>
      <c r="G128" s="23"/>
      <c r="H128" s="23"/>
      <c r="I128" s="23"/>
      <c r="J128" s="23"/>
      <c r="K128" s="32">
        <v>4.0979999999999999</v>
      </c>
      <c r="L128" s="32">
        <v>113969.5</v>
      </c>
      <c r="M128" s="32">
        <v>88782.176777799978</v>
      </c>
      <c r="N128" s="32">
        <f>L128-M128-O128</f>
        <v>19488.852312200019</v>
      </c>
      <c r="O128" s="93">
        <v>5698.4709100000036</v>
      </c>
      <c r="P128" s="23">
        <v>1.4373</v>
      </c>
      <c r="Q128" s="23">
        <v>31188.6</v>
      </c>
      <c r="R128" s="23">
        <v>24296</v>
      </c>
      <c r="S128" s="23">
        <f>Q128-R128-T128</f>
        <v>5333.1661464999979</v>
      </c>
      <c r="T128" s="23">
        <v>1559.4338535000006</v>
      </c>
      <c r="U128" s="83"/>
      <c r="Y128" s="12">
        <f t="shared" si="76"/>
        <v>5.5352999999999994</v>
      </c>
      <c r="Z128" s="12">
        <f t="shared" si="76"/>
        <v>145158.1</v>
      </c>
    </row>
    <row r="129" spans="1:27" s="11" customFormat="1" ht="51" customHeight="1">
      <c r="A129" s="134" t="s">
        <v>101</v>
      </c>
      <c r="B129" s="134"/>
      <c r="C129" s="134"/>
      <c r="D129" s="27">
        <f>SUM(D127:D128)</f>
        <v>19.735299999999999</v>
      </c>
      <c r="E129" s="42">
        <f>SUM(E127:E128)</f>
        <v>584611.96324399998</v>
      </c>
      <c r="F129" s="27"/>
      <c r="G129" s="42"/>
      <c r="H129" s="42"/>
      <c r="I129" s="42"/>
      <c r="J129" s="42"/>
      <c r="K129" s="27">
        <f>SUM(K127:K128)</f>
        <v>7.1980000000000004</v>
      </c>
      <c r="L129" s="42">
        <f t="shared" ref="L129:T129" si="85">SUM(L127:L128)</f>
        <v>207651.530104</v>
      </c>
      <c r="M129" s="42">
        <f t="shared" si="85"/>
        <v>165601.4409691511</v>
      </c>
      <c r="N129" s="42">
        <f t="shared" si="85"/>
        <v>36351.618224848877</v>
      </c>
      <c r="O129" s="87">
        <f t="shared" si="85"/>
        <v>5698.4709100000036</v>
      </c>
      <c r="P129" s="27">
        <f>SUM(P127:P128)</f>
        <v>12.5373</v>
      </c>
      <c r="Q129" s="42">
        <f t="shared" si="85"/>
        <v>376960.43313999998</v>
      </c>
      <c r="R129" s="42">
        <f t="shared" si="85"/>
        <v>307828.90206759662</v>
      </c>
      <c r="S129" s="42">
        <f t="shared" si="85"/>
        <v>67572.097218903364</v>
      </c>
      <c r="T129" s="42">
        <f t="shared" si="85"/>
        <v>1559.4338535000006</v>
      </c>
      <c r="U129" s="79">
        <f>F129+K129+P129</f>
        <v>19.735300000000002</v>
      </c>
      <c r="V129" s="12">
        <f>G129+L129+Q129</f>
        <v>584611.96324399998</v>
      </c>
      <c r="Y129" s="12">
        <f t="shared" si="76"/>
        <v>19.735300000000002</v>
      </c>
      <c r="Z129" s="12">
        <f t="shared" si="76"/>
        <v>584611.96324399998</v>
      </c>
    </row>
    <row r="130" spans="1:27" s="11" customFormat="1" ht="34.5" customHeight="1">
      <c r="A130" s="126" t="s">
        <v>43</v>
      </c>
      <c r="B130" s="126"/>
      <c r="C130" s="126"/>
      <c r="D130" s="29"/>
      <c r="E130" s="42"/>
      <c r="F130" s="42"/>
      <c r="G130" s="42"/>
      <c r="H130" s="42"/>
      <c r="I130" s="42"/>
      <c r="J130" s="42"/>
      <c r="K130" s="45"/>
      <c r="L130" s="34"/>
      <c r="M130" s="34"/>
      <c r="N130" s="34"/>
      <c r="O130" s="88"/>
      <c r="P130" s="34"/>
      <c r="Q130" s="34"/>
      <c r="R130" s="34"/>
      <c r="S130" s="34"/>
      <c r="T130" s="34"/>
      <c r="U130" s="78"/>
      <c r="Y130" s="12">
        <f t="shared" si="76"/>
        <v>0</v>
      </c>
      <c r="Z130" s="12">
        <f t="shared" si="76"/>
        <v>0</v>
      </c>
    </row>
    <row r="131" spans="1:27" s="11" customFormat="1" ht="54" customHeight="1">
      <c r="A131" s="99">
        <v>54</v>
      </c>
      <c r="B131" s="25" t="s">
        <v>44</v>
      </c>
      <c r="C131" s="21" t="s">
        <v>17</v>
      </c>
      <c r="D131" s="29">
        <v>9.6470000000000002</v>
      </c>
      <c r="E131" s="23">
        <v>261742.54837999999</v>
      </c>
      <c r="F131" s="22">
        <f>D131</f>
        <v>9.6470000000000002</v>
      </c>
      <c r="G131" s="23">
        <f>261742.54838-104834.57851-5743.15103+778.51714</f>
        <v>151943.33597999997</v>
      </c>
      <c r="H131" s="23">
        <f t="shared" ref="H131:H133" si="86">G131*0.879999983231406</f>
        <v>133710.13311452387</v>
      </c>
      <c r="I131" s="23">
        <f>G131-H131</f>
        <v>18233.202865476109</v>
      </c>
      <c r="J131" s="23"/>
      <c r="K131" s="22"/>
      <c r="L131" s="23"/>
      <c r="M131" s="34"/>
      <c r="N131" s="34"/>
      <c r="O131" s="88"/>
      <c r="P131" s="34"/>
      <c r="Q131" s="34"/>
      <c r="R131" s="34"/>
      <c r="S131" s="34"/>
      <c r="T131" s="34"/>
      <c r="V131" s="95">
        <f>E131-G131</f>
        <v>109799.21240000002</v>
      </c>
      <c r="Y131" s="12">
        <f t="shared" si="76"/>
        <v>9.6470000000000002</v>
      </c>
      <c r="Z131" s="12">
        <f t="shared" si="76"/>
        <v>151943.33597999997</v>
      </c>
    </row>
    <row r="132" spans="1:27" s="11" customFormat="1" ht="53.25" customHeight="1">
      <c r="A132" s="99">
        <v>55</v>
      </c>
      <c r="B132" s="33" t="s">
        <v>59</v>
      </c>
      <c r="C132" s="21" t="s">
        <v>17</v>
      </c>
      <c r="D132" s="29">
        <f>2.8-0.018</f>
        <v>2.782</v>
      </c>
      <c r="E132" s="23">
        <v>84265.095249999998</v>
      </c>
      <c r="F132" s="22">
        <f>D132</f>
        <v>2.782</v>
      </c>
      <c r="G132" s="23">
        <f>E132</f>
        <v>84265.095249999998</v>
      </c>
      <c r="H132" s="23">
        <f t="shared" si="86"/>
        <v>74153.282406992832</v>
      </c>
      <c r="I132" s="23">
        <f>G132-H132</f>
        <v>10111.812843007167</v>
      </c>
      <c r="J132" s="23"/>
      <c r="K132" s="45"/>
      <c r="L132" s="34"/>
      <c r="M132" s="34"/>
      <c r="N132" s="34"/>
      <c r="O132" s="88"/>
      <c r="P132" s="34"/>
      <c r="Q132" s="34"/>
      <c r="R132" s="34"/>
      <c r="S132" s="34"/>
      <c r="T132" s="34"/>
      <c r="U132" s="78"/>
      <c r="Y132" s="12">
        <f t="shared" si="76"/>
        <v>2.782</v>
      </c>
      <c r="Z132" s="12">
        <f t="shared" si="76"/>
        <v>84265.095249999998</v>
      </c>
    </row>
    <row r="133" spans="1:27" s="11" customFormat="1" ht="56.25" customHeight="1">
      <c r="A133" s="99">
        <v>56</v>
      </c>
      <c r="B133" s="74" t="s">
        <v>172</v>
      </c>
      <c r="C133" s="71" t="s">
        <v>17</v>
      </c>
      <c r="D133" s="72">
        <f>4.7-0.08</f>
        <v>4.62</v>
      </c>
      <c r="E133" s="73">
        <v>146000</v>
      </c>
      <c r="F133" s="22">
        <f>D133</f>
        <v>4.62</v>
      </c>
      <c r="G133" s="23">
        <f>E133</f>
        <v>146000</v>
      </c>
      <c r="H133" s="23">
        <f t="shared" si="86"/>
        <v>128479.99755178529</v>
      </c>
      <c r="I133" s="23">
        <f>G133-H133</f>
        <v>17520.002448214713</v>
      </c>
      <c r="J133" s="23"/>
      <c r="K133" s="22"/>
      <c r="L133" s="23"/>
      <c r="M133" s="23"/>
      <c r="N133" s="23"/>
      <c r="O133" s="89"/>
      <c r="P133" s="23"/>
      <c r="Q133" s="23"/>
      <c r="R133" s="23"/>
      <c r="S133" s="23"/>
      <c r="T133" s="23"/>
      <c r="U133" s="79"/>
      <c r="Y133" s="12">
        <f t="shared" si="76"/>
        <v>4.62</v>
      </c>
      <c r="Z133" s="12">
        <f t="shared" si="76"/>
        <v>146000</v>
      </c>
    </row>
    <row r="134" spans="1:27" s="11" customFormat="1" ht="50.25" customHeight="1">
      <c r="A134" s="99">
        <v>57</v>
      </c>
      <c r="B134" s="74" t="s">
        <v>143</v>
      </c>
      <c r="C134" s="21" t="s">
        <v>17</v>
      </c>
      <c r="D134" s="72">
        <v>4.0549999999999997</v>
      </c>
      <c r="E134" s="73">
        <v>141925</v>
      </c>
      <c r="F134" s="22"/>
      <c r="G134" s="23"/>
      <c r="H134" s="23"/>
      <c r="I134" s="23"/>
      <c r="J134" s="23"/>
      <c r="K134" s="22">
        <f>D134</f>
        <v>4.0549999999999997</v>
      </c>
      <c r="L134" s="23">
        <f>E134</f>
        <v>141925</v>
      </c>
      <c r="M134" s="23">
        <f t="shared" ref="M134" si="87">L134*0.819999994727603</f>
        <v>116378.49925171505</v>
      </c>
      <c r="N134" s="23">
        <f>L134-M134</f>
        <v>25546.500748284947</v>
      </c>
      <c r="O134" s="89"/>
      <c r="P134" s="23"/>
      <c r="Q134" s="23"/>
      <c r="R134" s="23"/>
      <c r="S134" s="23"/>
      <c r="T134" s="23"/>
      <c r="U134" s="79"/>
      <c r="Y134" s="12">
        <f t="shared" si="76"/>
        <v>4.0549999999999997</v>
      </c>
      <c r="Z134" s="12">
        <f t="shared" si="76"/>
        <v>141925</v>
      </c>
    </row>
    <row r="135" spans="1:27" s="11" customFormat="1" ht="32.25" customHeight="1">
      <c r="A135" s="21"/>
      <c r="B135" s="19" t="s">
        <v>31</v>
      </c>
      <c r="C135" s="21"/>
      <c r="D135" s="32">
        <f>SUBTOTAL(9,D131:D134)</f>
        <v>21.103999999999999</v>
      </c>
      <c r="E135" s="32">
        <f>SUBTOTAL(9,E131:E134)</f>
        <v>633932.64363000006</v>
      </c>
      <c r="F135" s="32">
        <f t="shared" ref="F135:I135" si="88">SUM(F131:F133)</f>
        <v>17.048999999999999</v>
      </c>
      <c r="G135" s="32">
        <f t="shared" si="88"/>
        <v>382208.43122999999</v>
      </c>
      <c r="H135" s="32">
        <f t="shared" si="88"/>
        <v>336343.41307330201</v>
      </c>
      <c r="I135" s="32">
        <f t="shared" si="88"/>
        <v>45865.018156697988</v>
      </c>
      <c r="J135" s="23"/>
      <c r="K135" s="32">
        <f>K134</f>
        <v>4.0549999999999997</v>
      </c>
      <c r="L135" s="32">
        <f t="shared" ref="L135:N135" si="89">L134</f>
        <v>141925</v>
      </c>
      <c r="M135" s="32">
        <f t="shared" si="89"/>
        <v>116378.49925171505</v>
      </c>
      <c r="N135" s="32">
        <f t="shared" si="89"/>
        <v>25546.500748284947</v>
      </c>
      <c r="O135" s="88"/>
      <c r="P135" s="34"/>
      <c r="Q135" s="34"/>
      <c r="R135" s="34"/>
      <c r="S135" s="34"/>
      <c r="T135" s="34"/>
      <c r="U135" s="78"/>
      <c r="Y135" s="12">
        <f t="shared" si="76"/>
        <v>21.103999999999999</v>
      </c>
      <c r="Z135" s="12">
        <f>G135+L135+Q135</f>
        <v>524133.43122999999</v>
      </c>
    </row>
    <row r="136" spans="1:27" s="11" customFormat="1" ht="36" customHeight="1">
      <c r="A136" s="100"/>
      <c r="B136" s="19" t="s">
        <v>32</v>
      </c>
      <c r="C136" s="21"/>
      <c r="D136" s="26">
        <f>F136+K136+P136</f>
        <v>1.9</v>
      </c>
      <c r="E136" s="23">
        <f>G136+L136+Q136</f>
        <v>29838.49</v>
      </c>
      <c r="F136" s="23">
        <v>1.9</v>
      </c>
      <c r="G136" s="23">
        <v>29838.49</v>
      </c>
      <c r="H136" s="23">
        <v>24682.398927999999</v>
      </c>
      <c r="I136" s="23">
        <f>G136-H136-J136</f>
        <v>3365.7816720000028</v>
      </c>
      <c r="J136" s="23">
        <v>1790.3094000000001</v>
      </c>
      <c r="K136" s="45"/>
      <c r="L136" s="34"/>
      <c r="M136" s="34"/>
      <c r="N136" s="34"/>
      <c r="O136" s="88"/>
      <c r="P136" s="34"/>
      <c r="Q136" s="34"/>
      <c r="R136" s="34"/>
      <c r="S136" s="34"/>
      <c r="T136" s="34"/>
      <c r="U136" s="78"/>
      <c r="Y136" s="12">
        <f t="shared" si="76"/>
        <v>1.9</v>
      </c>
      <c r="Z136" s="12">
        <f t="shared" si="76"/>
        <v>29838.49</v>
      </c>
    </row>
    <row r="137" spans="1:27" s="11" customFormat="1" ht="54.75" customHeight="1">
      <c r="A137" s="134" t="s">
        <v>45</v>
      </c>
      <c r="B137" s="134"/>
      <c r="C137" s="134"/>
      <c r="D137" s="27">
        <f>SUM(D135:D136)</f>
        <v>23.003999999999998</v>
      </c>
      <c r="E137" s="42">
        <f>SUM(E135:E136)</f>
        <v>663771.13363000005</v>
      </c>
      <c r="F137" s="27">
        <f>SUM(F135:F136)</f>
        <v>18.948999999999998</v>
      </c>
      <c r="G137" s="42">
        <f t="shared" ref="G137:H137" si="90">SUM(G135:G136)</f>
        <v>412046.92122999998</v>
      </c>
      <c r="H137" s="42">
        <f t="shared" si="90"/>
        <v>361025.81200130202</v>
      </c>
      <c r="I137" s="42">
        <f>SUM(I135:I136)</f>
        <v>49230.799828697993</v>
      </c>
      <c r="J137" s="42">
        <f>SUM(J135:J136)</f>
        <v>1790.3094000000001</v>
      </c>
      <c r="K137" s="27">
        <f>SUM(K135:K136)</f>
        <v>4.0549999999999997</v>
      </c>
      <c r="L137" s="42">
        <f t="shared" ref="L137:N137" si="91">SUM(L135:L136)</f>
        <v>141925</v>
      </c>
      <c r="M137" s="42">
        <f t="shared" si="91"/>
        <v>116378.49925171505</v>
      </c>
      <c r="N137" s="42">
        <f t="shared" si="91"/>
        <v>25546.500748284947</v>
      </c>
      <c r="O137" s="88"/>
      <c r="P137" s="34"/>
      <c r="Q137" s="34"/>
      <c r="R137" s="34"/>
      <c r="S137" s="34"/>
      <c r="T137" s="34"/>
      <c r="U137" s="79">
        <f>F137+K137+P137</f>
        <v>23.003999999999998</v>
      </c>
      <c r="V137" s="12">
        <f>G137+L137+Q137</f>
        <v>553971.92122999998</v>
      </c>
      <c r="Y137" s="12">
        <f t="shared" si="76"/>
        <v>23.003999999999998</v>
      </c>
      <c r="Z137" s="12">
        <f t="shared" si="76"/>
        <v>553971.92122999998</v>
      </c>
      <c r="AA137" s="12">
        <f>E137-Z137</f>
        <v>109799.21240000008</v>
      </c>
    </row>
    <row r="138" spans="1:27" s="11" customFormat="1" ht="38.25" customHeight="1">
      <c r="A138" s="126" t="s">
        <v>85</v>
      </c>
      <c r="B138" s="126"/>
      <c r="C138" s="126"/>
      <c r="D138" s="31"/>
      <c r="E138" s="42"/>
      <c r="F138" s="42"/>
      <c r="G138" s="42"/>
      <c r="H138" s="42"/>
      <c r="I138" s="42"/>
      <c r="J138" s="42"/>
      <c r="K138" s="45"/>
      <c r="L138" s="34"/>
      <c r="M138" s="34"/>
      <c r="N138" s="34"/>
      <c r="O138" s="88"/>
      <c r="P138" s="34"/>
      <c r="Q138" s="34"/>
      <c r="R138" s="34"/>
      <c r="S138" s="34"/>
      <c r="T138" s="34"/>
      <c r="U138" s="78"/>
      <c r="Y138" s="12">
        <f t="shared" si="76"/>
        <v>0</v>
      </c>
      <c r="Z138" s="12">
        <f t="shared" si="76"/>
        <v>0</v>
      </c>
    </row>
    <row r="139" spans="1:27" s="11" customFormat="1" ht="45.75" customHeight="1">
      <c r="A139" s="99">
        <v>58</v>
      </c>
      <c r="B139" s="33" t="s">
        <v>171</v>
      </c>
      <c r="C139" s="21" t="s">
        <v>17</v>
      </c>
      <c r="D139" s="31">
        <v>8.3000000000000007</v>
      </c>
      <c r="E139" s="23">
        <v>216532.56992000001</v>
      </c>
      <c r="F139" s="31">
        <v>8.3000000000000007</v>
      </c>
      <c r="G139" s="23">
        <f>E139</f>
        <v>216532.56992000001</v>
      </c>
      <c r="H139" s="23">
        <f t="shared" ref="H139" si="92">G139*0.879999983231406</f>
        <v>190548.65789865327</v>
      </c>
      <c r="I139" s="23">
        <f>G139-H139</f>
        <v>25983.912021346739</v>
      </c>
      <c r="J139" s="23"/>
      <c r="K139" s="45"/>
      <c r="L139" s="34"/>
      <c r="M139" s="34"/>
      <c r="N139" s="34"/>
      <c r="O139" s="88"/>
      <c r="P139" s="34"/>
      <c r="Q139" s="34"/>
      <c r="R139" s="34"/>
      <c r="S139" s="34"/>
      <c r="T139" s="34"/>
      <c r="U139" s="78"/>
      <c r="Y139" s="12">
        <f t="shared" si="76"/>
        <v>8.3000000000000007</v>
      </c>
      <c r="Z139" s="12">
        <f t="shared" si="76"/>
        <v>216532.56992000001</v>
      </c>
    </row>
    <row r="140" spans="1:27" s="11" customFormat="1" ht="49.5" customHeight="1">
      <c r="A140" s="99">
        <v>59</v>
      </c>
      <c r="B140" s="33" t="s">
        <v>130</v>
      </c>
      <c r="C140" s="21" t="s">
        <v>17</v>
      </c>
      <c r="D140" s="31">
        <v>7.6</v>
      </c>
      <c r="E140" s="23">
        <v>266000</v>
      </c>
      <c r="F140" s="31"/>
      <c r="G140" s="23"/>
      <c r="H140" s="23"/>
      <c r="I140" s="23"/>
      <c r="J140" s="23"/>
      <c r="K140" s="32">
        <f>D140</f>
        <v>7.6</v>
      </c>
      <c r="L140" s="32">
        <f>E140</f>
        <v>266000</v>
      </c>
      <c r="M140" s="23">
        <f t="shared" ref="M140" si="93">L140*0.819999994727603</f>
        <v>218119.99859754241</v>
      </c>
      <c r="N140" s="23">
        <f>L140-M140</f>
        <v>47880.001402457594</v>
      </c>
      <c r="O140" s="88"/>
      <c r="P140" s="34"/>
      <c r="Q140" s="34"/>
      <c r="R140" s="34"/>
      <c r="S140" s="34"/>
      <c r="T140" s="34"/>
      <c r="U140" s="78"/>
      <c r="X140" s="11" t="s">
        <v>34</v>
      </c>
      <c r="Y140" s="12">
        <f t="shared" si="76"/>
        <v>7.6</v>
      </c>
      <c r="Z140" s="12">
        <f t="shared" si="76"/>
        <v>266000</v>
      </c>
    </row>
    <row r="141" spans="1:27" s="11" customFormat="1" ht="52.5" customHeight="1">
      <c r="A141" s="99">
        <v>60</v>
      </c>
      <c r="B141" s="33" t="s">
        <v>151</v>
      </c>
      <c r="C141" s="21" t="s">
        <v>154</v>
      </c>
      <c r="D141" s="31">
        <v>6.2</v>
      </c>
      <c r="E141" s="23">
        <v>217000</v>
      </c>
      <c r="F141" s="31"/>
      <c r="G141" s="23"/>
      <c r="H141" s="23"/>
      <c r="I141" s="23"/>
      <c r="J141" s="23"/>
      <c r="K141" s="32"/>
      <c r="L141" s="32"/>
      <c r="M141" s="23"/>
      <c r="N141" s="23"/>
      <c r="O141" s="88"/>
      <c r="P141" s="31">
        <f>D141</f>
        <v>6.2</v>
      </c>
      <c r="Q141" s="23">
        <f>E141</f>
        <v>217000</v>
      </c>
      <c r="R141" s="23">
        <f t="shared" ref="R141:R142" si="94">Q141*0.819999994727603</f>
        <v>177939.99885588986</v>
      </c>
      <c r="S141" s="23">
        <f>Q141-R141</f>
        <v>39060.001144110138</v>
      </c>
      <c r="T141" s="34"/>
      <c r="U141" s="78"/>
      <c r="Y141" s="12">
        <f t="shared" si="76"/>
        <v>6.2</v>
      </c>
      <c r="Z141" s="12">
        <f t="shared" si="76"/>
        <v>217000</v>
      </c>
    </row>
    <row r="142" spans="1:27" s="11" customFormat="1" ht="46.5" customHeight="1">
      <c r="A142" s="99">
        <v>61</v>
      </c>
      <c r="B142" s="33" t="s">
        <v>164</v>
      </c>
      <c r="C142" s="21" t="s">
        <v>154</v>
      </c>
      <c r="D142" s="31">
        <v>5.6</v>
      </c>
      <c r="E142" s="23">
        <v>196000</v>
      </c>
      <c r="F142" s="31"/>
      <c r="G142" s="23"/>
      <c r="H142" s="23"/>
      <c r="I142" s="23"/>
      <c r="J142" s="23"/>
      <c r="K142" s="32"/>
      <c r="L142" s="32"/>
      <c r="M142" s="23"/>
      <c r="N142" s="23"/>
      <c r="O142" s="88"/>
      <c r="P142" s="31">
        <f>D142</f>
        <v>5.6</v>
      </c>
      <c r="Q142" s="23">
        <f>E142</f>
        <v>196000</v>
      </c>
      <c r="R142" s="23">
        <f t="shared" si="94"/>
        <v>160719.99896661018</v>
      </c>
      <c r="S142" s="23">
        <f>Q142-R142</f>
        <v>35280.001033389824</v>
      </c>
      <c r="T142" s="34"/>
      <c r="U142" s="78"/>
      <c r="Y142" s="12">
        <f t="shared" si="76"/>
        <v>5.6</v>
      </c>
      <c r="Z142" s="12">
        <f t="shared" si="76"/>
        <v>196000</v>
      </c>
    </row>
    <row r="143" spans="1:27" s="11" customFormat="1" ht="35.25" customHeight="1">
      <c r="A143" s="21"/>
      <c r="B143" s="19" t="s">
        <v>31</v>
      </c>
      <c r="C143" s="21"/>
      <c r="D143" s="32">
        <f>SUBTOTAL(9,D139:D142)</f>
        <v>27.700000000000003</v>
      </c>
      <c r="E143" s="32">
        <f>SUBTOTAL(9,E139:E142)</f>
        <v>895532.56992000004</v>
      </c>
      <c r="F143" s="32">
        <f t="shared" ref="F143:I143" si="95">SUM(F139:F140)</f>
        <v>8.3000000000000007</v>
      </c>
      <c r="G143" s="32">
        <f t="shared" si="95"/>
        <v>216532.56992000001</v>
      </c>
      <c r="H143" s="32">
        <f t="shared" si="95"/>
        <v>190548.65789865327</v>
      </c>
      <c r="I143" s="32">
        <f t="shared" si="95"/>
        <v>25983.912021346739</v>
      </c>
      <c r="J143" s="23"/>
      <c r="K143" s="32">
        <f>SUM(K139:K140)</f>
        <v>7.6</v>
      </c>
      <c r="L143" s="32">
        <f>SUM(L139:L140)</f>
        <v>266000</v>
      </c>
      <c r="M143" s="32">
        <f>SUM(M139:M140)</f>
        <v>218119.99859754241</v>
      </c>
      <c r="N143" s="32">
        <f>SUM(N139:N140)</f>
        <v>47880.001402457594</v>
      </c>
      <c r="O143" s="88"/>
      <c r="P143" s="32">
        <f>P142+P141</f>
        <v>11.8</v>
      </c>
      <c r="Q143" s="32">
        <f t="shared" ref="Q143:S143" si="96">Q142+Q141</f>
        <v>413000</v>
      </c>
      <c r="R143" s="32">
        <f t="shared" si="96"/>
        <v>338659.99782250007</v>
      </c>
      <c r="S143" s="32">
        <f t="shared" si="96"/>
        <v>74340.002177499962</v>
      </c>
      <c r="T143" s="34"/>
      <c r="U143" s="78"/>
      <c r="Y143" s="12">
        <f t="shared" si="76"/>
        <v>27.700000000000003</v>
      </c>
      <c r="Z143" s="12">
        <f t="shared" si="76"/>
        <v>895532.56992000004</v>
      </c>
    </row>
    <row r="144" spans="1:27" s="11" customFormat="1" ht="36" customHeight="1">
      <c r="A144" s="100"/>
      <c r="B144" s="19" t="s">
        <v>32</v>
      </c>
      <c r="C144" s="21"/>
      <c r="D144" s="26">
        <f>F144+K144+P144</f>
        <v>1.1240000000000001</v>
      </c>
      <c r="E144" s="23">
        <f>G144+L144+Q144</f>
        <v>18169.400000000001</v>
      </c>
      <c r="F144" s="23">
        <v>1.1240000000000001</v>
      </c>
      <c r="G144" s="23">
        <v>18169.400000000001</v>
      </c>
      <c r="H144" s="23">
        <v>15189.625260299599</v>
      </c>
      <c r="I144" s="23">
        <f>G144-H144-J144</f>
        <v>2071.4747397004021</v>
      </c>
      <c r="J144" s="23">
        <v>908.3</v>
      </c>
      <c r="K144" s="45"/>
      <c r="L144" s="34"/>
      <c r="M144" s="34"/>
      <c r="N144" s="34"/>
      <c r="O144" s="88"/>
      <c r="P144" s="45"/>
      <c r="Q144" s="34"/>
      <c r="R144" s="34"/>
      <c r="S144" s="34"/>
      <c r="T144" s="34"/>
      <c r="U144" s="78"/>
      <c r="Y144" s="12">
        <f t="shared" si="76"/>
        <v>1.1240000000000001</v>
      </c>
      <c r="Z144" s="12">
        <f t="shared" si="76"/>
        <v>18169.400000000001</v>
      </c>
    </row>
    <row r="145" spans="1:26" s="46" customFormat="1" ht="53.25" customHeight="1">
      <c r="A145" s="134" t="s">
        <v>84</v>
      </c>
      <c r="B145" s="134"/>
      <c r="C145" s="134"/>
      <c r="D145" s="27">
        <f>SUM(D143:D144)</f>
        <v>28.824000000000002</v>
      </c>
      <c r="E145" s="42">
        <f>SUM(E143:E144)</f>
        <v>913701.96992000006</v>
      </c>
      <c r="F145" s="27">
        <f>SUM(F143:F144)</f>
        <v>9.4240000000000013</v>
      </c>
      <c r="G145" s="42">
        <f t="shared" ref="G145:H145" si="97">SUM(G143:G144)</f>
        <v>234701.96992</v>
      </c>
      <c r="H145" s="42">
        <f t="shared" si="97"/>
        <v>205738.28315895287</v>
      </c>
      <c r="I145" s="42">
        <f>SUM(I143:I144)</f>
        <v>28055.386761047142</v>
      </c>
      <c r="J145" s="42">
        <f>SUM(J143:J144)</f>
        <v>908.3</v>
      </c>
      <c r="K145" s="27">
        <f>SUM(K143:K144)</f>
        <v>7.6</v>
      </c>
      <c r="L145" s="42">
        <f t="shared" ref="L145:N145" si="98">SUM(L143:L144)</f>
        <v>266000</v>
      </c>
      <c r="M145" s="42">
        <f t="shared" si="98"/>
        <v>218119.99859754241</v>
      </c>
      <c r="N145" s="42">
        <f t="shared" si="98"/>
        <v>47880.001402457594</v>
      </c>
      <c r="O145" s="88"/>
      <c r="P145" s="27">
        <f>P143</f>
        <v>11.8</v>
      </c>
      <c r="Q145" s="42">
        <f t="shared" ref="Q145:S145" si="99">Q143</f>
        <v>413000</v>
      </c>
      <c r="R145" s="42">
        <f t="shared" si="99"/>
        <v>338659.99782250007</v>
      </c>
      <c r="S145" s="42">
        <f t="shared" si="99"/>
        <v>74340.002177499962</v>
      </c>
      <c r="T145" s="34"/>
      <c r="U145" s="79">
        <f>F145+K145+P145</f>
        <v>28.824000000000002</v>
      </c>
      <c r="V145" s="12">
        <f>G145+L145+Q145</f>
        <v>913701.96992000006</v>
      </c>
      <c r="Y145" s="12">
        <f t="shared" si="76"/>
        <v>28.824000000000002</v>
      </c>
      <c r="Z145" s="12">
        <f t="shared" si="76"/>
        <v>913701.96992000006</v>
      </c>
    </row>
    <row r="146" spans="1:26" s="11" customFormat="1" ht="36.75" customHeight="1">
      <c r="A146" s="126" t="s">
        <v>86</v>
      </c>
      <c r="B146" s="126"/>
      <c r="C146" s="126"/>
      <c r="D146" s="29"/>
      <c r="E146" s="42"/>
      <c r="F146" s="23"/>
      <c r="G146" s="23"/>
      <c r="H146" s="23"/>
      <c r="I146" s="23"/>
      <c r="J146" s="23"/>
      <c r="K146" s="45"/>
      <c r="L146" s="34"/>
      <c r="M146" s="34"/>
      <c r="N146" s="34"/>
      <c r="O146" s="88"/>
      <c r="P146" s="34"/>
      <c r="Q146" s="34"/>
      <c r="R146" s="34"/>
      <c r="S146" s="34"/>
      <c r="T146" s="34"/>
      <c r="U146" s="78"/>
      <c r="Y146" s="12">
        <f t="shared" si="76"/>
        <v>0</v>
      </c>
      <c r="Z146" s="12">
        <f t="shared" si="76"/>
        <v>0</v>
      </c>
    </row>
    <row r="147" spans="1:26" s="11" customFormat="1" ht="68.25" customHeight="1">
      <c r="A147" s="99">
        <v>62</v>
      </c>
      <c r="B147" s="33" t="s">
        <v>58</v>
      </c>
      <c r="C147" s="21" t="s">
        <v>17</v>
      </c>
      <c r="D147" s="29">
        <v>6.25</v>
      </c>
      <c r="E147" s="23">
        <v>154884.05856999999</v>
      </c>
      <c r="F147" s="22">
        <f>D147</f>
        <v>6.25</v>
      </c>
      <c r="G147" s="23">
        <f>E147</f>
        <v>154884.05856999999</v>
      </c>
      <c r="H147" s="23">
        <f t="shared" ref="H147:H148" si="100">G147*0.879999983231406</f>
        <v>136297.9689444121</v>
      </c>
      <c r="I147" s="23">
        <f>G147-H147</f>
        <v>18586.089625587891</v>
      </c>
      <c r="J147" s="23"/>
      <c r="K147" s="45"/>
      <c r="L147" s="34"/>
      <c r="M147" s="34"/>
      <c r="N147" s="34"/>
      <c r="O147" s="88"/>
      <c r="P147" s="34"/>
      <c r="Q147" s="34"/>
      <c r="R147" s="34"/>
      <c r="S147" s="34"/>
      <c r="T147" s="34"/>
      <c r="U147" s="78"/>
      <c r="Y147" s="12">
        <f t="shared" si="76"/>
        <v>6.25</v>
      </c>
      <c r="Z147" s="12">
        <f t="shared" si="76"/>
        <v>154884.05856999999</v>
      </c>
    </row>
    <row r="148" spans="1:26" s="11" customFormat="1" ht="49.5" customHeight="1">
      <c r="A148" s="99">
        <v>63</v>
      </c>
      <c r="B148" s="33" t="s">
        <v>131</v>
      </c>
      <c r="C148" s="21" t="s">
        <v>17</v>
      </c>
      <c r="D148" s="29">
        <v>5.31</v>
      </c>
      <c r="E148" s="23">
        <v>146000</v>
      </c>
      <c r="F148" s="22">
        <f>D148</f>
        <v>5.31</v>
      </c>
      <c r="G148" s="23">
        <f>E148</f>
        <v>146000</v>
      </c>
      <c r="H148" s="23">
        <f t="shared" si="100"/>
        <v>128479.99755178529</v>
      </c>
      <c r="I148" s="23">
        <f>G148-H148</f>
        <v>17520.002448214713</v>
      </c>
      <c r="J148" s="23"/>
      <c r="K148" s="22"/>
      <c r="L148" s="23"/>
      <c r="M148" s="23"/>
      <c r="N148" s="23"/>
      <c r="O148" s="88"/>
      <c r="P148" s="34"/>
      <c r="Q148" s="34"/>
      <c r="R148" s="34"/>
      <c r="S148" s="34"/>
      <c r="T148" s="34"/>
      <c r="U148" s="78"/>
      <c r="V148" s="11" t="s">
        <v>46</v>
      </c>
      <c r="Y148" s="12">
        <f t="shared" si="76"/>
        <v>5.31</v>
      </c>
      <c r="Z148" s="12">
        <f t="shared" si="76"/>
        <v>146000</v>
      </c>
    </row>
    <row r="149" spans="1:26" s="11" customFormat="1" ht="71.25" customHeight="1">
      <c r="A149" s="99">
        <v>64</v>
      </c>
      <c r="B149" s="33" t="s">
        <v>100</v>
      </c>
      <c r="C149" s="21" t="s">
        <v>19</v>
      </c>
      <c r="D149" s="29">
        <v>2.2000000000000002</v>
      </c>
      <c r="E149" s="23">
        <v>77000</v>
      </c>
      <c r="F149" s="22"/>
      <c r="G149" s="23"/>
      <c r="H149" s="23"/>
      <c r="I149" s="23"/>
      <c r="J149" s="23"/>
      <c r="K149" s="22">
        <f>D149</f>
        <v>2.2000000000000002</v>
      </c>
      <c r="L149" s="23">
        <f>E149</f>
        <v>77000</v>
      </c>
      <c r="M149" s="23">
        <f t="shared" ref="M149:M150" si="101">L149*0.819999994727603</f>
        <v>63139.99959402543</v>
      </c>
      <c r="N149" s="23">
        <f>L149-M149</f>
        <v>13860.00040597457</v>
      </c>
      <c r="O149" s="88"/>
      <c r="P149" s="34"/>
      <c r="Q149" s="34"/>
      <c r="R149" s="34"/>
      <c r="S149" s="34"/>
      <c r="T149" s="34"/>
      <c r="U149" s="78"/>
      <c r="Y149" s="12">
        <f t="shared" si="76"/>
        <v>2.2000000000000002</v>
      </c>
      <c r="Z149" s="12">
        <f t="shared" si="76"/>
        <v>77000</v>
      </c>
    </row>
    <row r="150" spans="1:26" s="11" customFormat="1" ht="50.25" customHeight="1">
      <c r="A150" s="99">
        <v>65</v>
      </c>
      <c r="B150" s="33" t="s">
        <v>144</v>
      </c>
      <c r="C150" s="21" t="s">
        <v>17</v>
      </c>
      <c r="D150" s="29">
        <v>3.7</v>
      </c>
      <c r="E150" s="23">
        <v>129500</v>
      </c>
      <c r="F150" s="22"/>
      <c r="G150" s="23"/>
      <c r="H150" s="23"/>
      <c r="I150" s="23"/>
      <c r="J150" s="23"/>
      <c r="K150" s="22">
        <f>D150</f>
        <v>3.7</v>
      </c>
      <c r="L150" s="23">
        <f>E150</f>
        <v>129500</v>
      </c>
      <c r="M150" s="23">
        <f t="shared" si="101"/>
        <v>106189.99931722459</v>
      </c>
      <c r="N150" s="23">
        <f>L150-M150</f>
        <v>23310.000682775411</v>
      </c>
      <c r="O150" s="88"/>
      <c r="P150" s="34"/>
      <c r="Q150" s="34"/>
      <c r="R150" s="34"/>
      <c r="S150" s="34"/>
      <c r="T150" s="34"/>
      <c r="U150" s="78"/>
      <c r="Y150" s="12">
        <f t="shared" si="76"/>
        <v>3.7</v>
      </c>
      <c r="Z150" s="12">
        <f t="shared" si="76"/>
        <v>129500</v>
      </c>
    </row>
    <row r="151" spans="1:26" s="11" customFormat="1" ht="50.25" customHeight="1">
      <c r="A151" s="99">
        <v>66</v>
      </c>
      <c r="B151" s="33" t="s">
        <v>165</v>
      </c>
      <c r="C151" s="21" t="s">
        <v>28</v>
      </c>
      <c r="D151" s="29">
        <v>2.9</v>
      </c>
      <c r="E151" s="23">
        <v>101500</v>
      </c>
      <c r="F151" s="22"/>
      <c r="G151" s="23"/>
      <c r="H151" s="23"/>
      <c r="I151" s="23"/>
      <c r="J151" s="23"/>
      <c r="K151" s="22"/>
      <c r="L151" s="23"/>
      <c r="M151" s="23"/>
      <c r="N151" s="23"/>
      <c r="O151" s="88"/>
      <c r="P151" s="22">
        <f>D151</f>
        <v>2.9</v>
      </c>
      <c r="Q151" s="23">
        <f>E151</f>
        <v>101500</v>
      </c>
      <c r="R151" s="23">
        <f t="shared" ref="R151:R152" si="102">Q151*0.819999994727603</f>
        <v>83229.999464851702</v>
      </c>
      <c r="S151" s="23">
        <f>Q151-R151</f>
        <v>18270.000535148298</v>
      </c>
      <c r="T151" s="34"/>
      <c r="U151" s="78"/>
      <c r="Y151" s="12">
        <f t="shared" si="76"/>
        <v>2.9</v>
      </c>
      <c r="Z151" s="12">
        <f t="shared" si="76"/>
        <v>101500</v>
      </c>
    </row>
    <row r="152" spans="1:26" s="11" customFormat="1" ht="47.25" customHeight="1">
      <c r="A152" s="99">
        <v>67</v>
      </c>
      <c r="B152" s="33" t="s">
        <v>166</v>
      </c>
      <c r="C152" s="21" t="s">
        <v>17</v>
      </c>
      <c r="D152" s="29">
        <v>4</v>
      </c>
      <c r="E152" s="23">
        <v>140000</v>
      </c>
      <c r="F152" s="22"/>
      <c r="G152" s="23"/>
      <c r="H152" s="23"/>
      <c r="I152" s="23"/>
      <c r="J152" s="23"/>
      <c r="K152" s="22"/>
      <c r="L152" s="23"/>
      <c r="M152" s="23"/>
      <c r="N152" s="23"/>
      <c r="O152" s="88"/>
      <c r="P152" s="22">
        <f>D152</f>
        <v>4</v>
      </c>
      <c r="Q152" s="23">
        <f>E152</f>
        <v>140000</v>
      </c>
      <c r="R152" s="23">
        <f t="shared" si="102"/>
        <v>114799.99926186442</v>
      </c>
      <c r="S152" s="23">
        <f>Q152-R152</f>
        <v>25200.000738135583</v>
      </c>
      <c r="T152" s="34"/>
      <c r="U152" s="78"/>
      <c r="Y152" s="12">
        <f t="shared" si="76"/>
        <v>4</v>
      </c>
      <c r="Z152" s="12">
        <f t="shared" si="76"/>
        <v>140000</v>
      </c>
    </row>
    <row r="153" spans="1:26" s="11" customFormat="1" ht="35.25" customHeight="1">
      <c r="A153" s="21"/>
      <c r="B153" s="19" t="s">
        <v>31</v>
      </c>
      <c r="C153" s="21"/>
      <c r="D153" s="32">
        <f>SUBTOTAL(9,D147:D152)</f>
        <v>24.359999999999996</v>
      </c>
      <c r="E153" s="32">
        <f>SUBTOTAL(9,E147:E152)</f>
        <v>748884.05856999999</v>
      </c>
      <c r="F153" s="32">
        <f t="shared" ref="F153:I153" si="103">SUM(F147:F149)</f>
        <v>11.559999999999999</v>
      </c>
      <c r="G153" s="32">
        <f t="shared" si="103"/>
        <v>300884.05856999999</v>
      </c>
      <c r="H153" s="32">
        <f t="shared" si="103"/>
        <v>264777.96649619739</v>
      </c>
      <c r="I153" s="32">
        <f t="shared" si="103"/>
        <v>36106.092073802603</v>
      </c>
      <c r="J153" s="23"/>
      <c r="K153" s="32">
        <f>K149+K150</f>
        <v>5.9</v>
      </c>
      <c r="L153" s="32">
        <f t="shared" ref="L153:N153" si="104">L149+L150</f>
        <v>206500</v>
      </c>
      <c r="M153" s="32">
        <f t="shared" si="104"/>
        <v>169329.99891125003</v>
      </c>
      <c r="N153" s="32">
        <f t="shared" si="104"/>
        <v>37170.001088749981</v>
      </c>
      <c r="O153" s="88"/>
      <c r="P153" s="32">
        <f>P151+P152</f>
        <v>6.9</v>
      </c>
      <c r="Q153" s="32">
        <f t="shared" ref="Q153:S153" si="105">Q151+Q152</f>
        <v>241500</v>
      </c>
      <c r="R153" s="32">
        <f t="shared" si="105"/>
        <v>198029.99872671612</v>
      </c>
      <c r="S153" s="32">
        <f t="shared" si="105"/>
        <v>43470.00127328388</v>
      </c>
      <c r="T153" s="34"/>
      <c r="U153" s="78"/>
      <c r="Y153" s="12">
        <f t="shared" si="76"/>
        <v>24.36</v>
      </c>
      <c r="Z153" s="12">
        <f t="shared" si="76"/>
        <v>748884.05856999999</v>
      </c>
    </row>
    <row r="154" spans="1:26" s="11" customFormat="1" ht="30" hidden="1" customHeight="1">
      <c r="A154" s="100"/>
      <c r="B154" s="19" t="s">
        <v>32</v>
      </c>
      <c r="C154" s="21"/>
      <c r="D154" s="26"/>
      <c r="E154" s="23"/>
      <c r="F154" s="23"/>
      <c r="G154" s="23"/>
      <c r="H154" s="23"/>
      <c r="I154" s="23"/>
      <c r="J154" s="23"/>
      <c r="K154" s="45"/>
      <c r="L154" s="34"/>
      <c r="M154" s="34"/>
      <c r="N154" s="34"/>
      <c r="O154" s="88"/>
      <c r="P154" s="27"/>
      <c r="Q154" s="42"/>
      <c r="R154" s="42"/>
      <c r="S154" s="42"/>
      <c r="T154" s="34"/>
      <c r="U154" s="78"/>
    </row>
    <row r="155" spans="1:26" s="11" customFormat="1" ht="49.5" customHeight="1">
      <c r="A155" s="134" t="s">
        <v>87</v>
      </c>
      <c r="B155" s="134"/>
      <c r="C155" s="134"/>
      <c r="D155" s="27">
        <f>SUM(D153:D154)</f>
        <v>24.359999999999996</v>
      </c>
      <c r="E155" s="42">
        <f>SUM(E153:E154)</f>
        <v>748884.05856999999</v>
      </c>
      <c r="F155" s="27">
        <f>SUM(F153:F154)</f>
        <v>11.559999999999999</v>
      </c>
      <c r="G155" s="42">
        <f t="shared" ref="G155:H155" si="106">SUM(G153:G154)</f>
        <v>300884.05856999999</v>
      </c>
      <c r="H155" s="42">
        <f t="shared" si="106"/>
        <v>264777.96649619739</v>
      </c>
      <c r="I155" s="42">
        <f>SUM(I153:I154)</f>
        <v>36106.092073802603</v>
      </c>
      <c r="J155" s="42">
        <v>1711.7940000000001</v>
      </c>
      <c r="K155" s="27">
        <f>SUM(K153:K154)</f>
        <v>5.9</v>
      </c>
      <c r="L155" s="42">
        <f t="shared" ref="L155:N155" si="107">SUM(L153:L154)</f>
        <v>206500</v>
      </c>
      <c r="M155" s="42">
        <f t="shared" si="107"/>
        <v>169329.99891125003</v>
      </c>
      <c r="N155" s="42">
        <f t="shared" si="107"/>
        <v>37170.001088749981</v>
      </c>
      <c r="O155" s="88"/>
      <c r="P155" s="107">
        <f>P153</f>
        <v>6.9</v>
      </c>
      <c r="Q155" s="107">
        <f t="shared" ref="Q155:S155" si="108">Q153</f>
        <v>241500</v>
      </c>
      <c r="R155" s="107">
        <f t="shared" si="108"/>
        <v>198029.99872671612</v>
      </c>
      <c r="S155" s="107">
        <f t="shared" si="108"/>
        <v>43470.00127328388</v>
      </c>
      <c r="T155" s="34"/>
      <c r="U155" s="79">
        <f>F155+K155+P155</f>
        <v>24.36</v>
      </c>
      <c r="V155" s="12">
        <f>G155+L155+Q155</f>
        <v>748884.05856999999</v>
      </c>
      <c r="Y155" s="12">
        <f t="shared" ref="Y155:Z192" si="109">F155+K155+P155</f>
        <v>24.36</v>
      </c>
      <c r="Z155" s="12">
        <f t="shared" si="109"/>
        <v>748884.05856999999</v>
      </c>
    </row>
    <row r="156" spans="1:26" s="11" customFormat="1" ht="28.5" customHeight="1">
      <c r="A156" s="126" t="s">
        <v>88</v>
      </c>
      <c r="B156" s="126"/>
      <c r="C156" s="126"/>
      <c r="D156" s="31"/>
      <c r="E156" s="42"/>
      <c r="F156" s="42"/>
      <c r="G156" s="42"/>
      <c r="H156" s="42"/>
      <c r="I156" s="42"/>
      <c r="J156" s="42"/>
      <c r="K156" s="45"/>
      <c r="L156" s="34"/>
      <c r="M156" s="34"/>
      <c r="N156" s="34"/>
      <c r="O156" s="88"/>
      <c r="P156" s="27"/>
      <c r="Q156" s="42"/>
      <c r="R156" s="42"/>
      <c r="S156" s="42"/>
      <c r="T156" s="34"/>
      <c r="U156" s="78"/>
      <c r="Y156" s="12">
        <f t="shared" si="109"/>
        <v>0</v>
      </c>
      <c r="Z156" s="12">
        <f t="shared" si="109"/>
        <v>0</v>
      </c>
    </row>
    <row r="157" spans="1:26" s="11" customFormat="1" ht="68.25" customHeight="1">
      <c r="A157" s="99">
        <v>68</v>
      </c>
      <c r="B157" s="33" t="s">
        <v>167</v>
      </c>
      <c r="C157" s="21" t="s">
        <v>17</v>
      </c>
      <c r="D157" s="31">
        <v>3.5</v>
      </c>
      <c r="E157" s="23">
        <v>98095.251010000007</v>
      </c>
      <c r="F157" s="22">
        <f t="shared" ref="F157:G160" si="110">D157</f>
        <v>3.5</v>
      </c>
      <c r="G157" s="23">
        <f t="shared" si="110"/>
        <v>98095.251010000007</v>
      </c>
      <c r="H157" s="23">
        <f t="shared" ref="H157:H160" si="111">G157*0.879999983231406</f>
        <v>86323.819243880571</v>
      </c>
      <c r="I157" s="23">
        <f>G157-H157</f>
        <v>11771.431766119436</v>
      </c>
      <c r="J157" s="23"/>
      <c r="K157" s="45"/>
      <c r="L157" s="34"/>
      <c r="M157" s="34"/>
      <c r="N157" s="34"/>
      <c r="O157" s="88"/>
      <c r="P157" s="34"/>
      <c r="Q157" s="34"/>
      <c r="R157" s="34"/>
      <c r="S157" s="34"/>
      <c r="T157" s="34"/>
      <c r="U157" s="78"/>
      <c r="Y157" s="12">
        <f t="shared" si="109"/>
        <v>3.5</v>
      </c>
      <c r="Z157" s="12">
        <f t="shared" si="109"/>
        <v>98095.251010000007</v>
      </c>
    </row>
    <row r="158" spans="1:26" s="11" customFormat="1" ht="53.25" customHeight="1">
      <c r="A158" s="99">
        <v>69</v>
      </c>
      <c r="B158" s="33" t="s">
        <v>56</v>
      </c>
      <c r="C158" s="21" t="s">
        <v>17</v>
      </c>
      <c r="D158" s="31">
        <v>2.9</v>
      </c>
      <c r="E158" s="23">
        <v>76985.267479999995</v>
      </c>
      <c r="F158" s="22">
        <f t="shared" si="110"/>
        <v>2.9</v>
      </c>
      <c r="G158" s="23">
        <f t="shared" si="110"/>
        <v>76985.267479999995</v>
      </c>
      <c r="H158" s="23">
        <f t="shared" si="111"/>
        <v>67747.034091465306</v>
      </c>
      <c r="I158" s="23">
        <f>G158-H158</f>
        <v>9238.2333885346889</v>
      </c>
      <c r="J158" s="23"/>
      <c r="K158" s="45"/>
      <c r="L158" s="34"/>
      <c r="M158" s="34"/>
      <c r="N158" s="34"/>
      <c r="O158" s="88"/>
      <c r="P158" s="34"/>
      <c r="Q158" s="34"/>
      <c r="R158" s="34"/>
      <c r="S158" s="34"/>
      <c r="T158" s="34"/>
      <c r="U158" s="78"/>
      <c r="Y158" s="12">
        <f t="shared" si="109"/>
        <v>2.9</v>
      </c>
      <c r="Z158" s="12">
        <f t="shared" si="109"/>
        <v>76985.267479999995</v>
      </c>
    </row>
    <row r="159" spans="1:26" s="11" customFormat="1" ht="53.25" customHeight="1">
      <c r="A159" s="99">
        <v>70</v>
      </c>
      <c r="B159" s="33" t="s">
        <v>145</v>
      </c>
      <c r="C159" s="21" t="s">
        <v>17</v>
      </c>
      <c r="D159" s="31">
        <v>5.2</v>
      </c>
      <c r="E159" s="23">
        <v>182000</v>
      </c>
      <c r="F159" s="22"/>
      <c r="G159" s="23"/>
      <c r="H159" s="23"/>
      <c r="I159" s="23"/>
      <c r="J159" s="23"/>
      <c r="K159" s="22">
        <f>D159</f>
        <v>5.2</v>
      </c>
      <c r="L159" s="23">
        <f>E159</f>
        <v>182000</v>
      </c>
      <c r="M159" s="23">
        <f t="shared" ref="M159" si="112">L159*0.819999994727603</f>
        <v>149239.99904042375</v>
      </c>
      <c r="N159" s="23">
        <f>L159-M159</f>
        <v>32760.000959576253</v>
      </c>
      <c r="O159" s="88"/>
      <c r="P159" s="34"/>
      <c r="Q159" s="34"/>
      <c r="R159" s="34"/>
      <c r="S159" s="34"/>
      <c r="T159" s="34"/>
      <c r="U159" s="78"/>
      <c r="Y159" s="12">
        <f t="shared" si="109"/>
        <v>5.2</v>
      </c>
      <c r="Z159" s="12">
        <f t="shared" si="109"/>
        <v>182000</v>
      </c>
    </row>
    <row r="160" spans="1:26" s="11" customFormat="1" ht="87.75" customHeight="1">
      <c r="A160" s="99">
        <v>71</v>
      </c>
      <c r="B160" s="33" t="s">
        <v>168</v>
      </c>
      <c r="C160" s="21" t="s">
        <v>28</v>
      </c>
      <c r="D160" s="31">
        <v>5.9329999999999998</v>
      </c>
      <c r="E160" s="23">
        <v>213500</v>
      </c>
      <c r="F160" s="22">
        <f t="shared" si="110"/>
        <v>5.9329999999999998</v>
      </c>
      <c r="G160" s="23">
        <f t="shared" si="110"/>
        <v>213500</v>
      </c>
      <c r="H160" s="23">
        <f t="shared" si="111"/>
        <v>187879.99641990519</v>
      </c>
      <c r="I160" s="23">
        <f>G160-H160</f>
        <v>25620.00358009481</v>
      </c>
      <c r="J160" s="23"/>
      <c r="K160" s="23"/>
      <c r="L160" s="23"/>
      <c r="M160" s="23"/>
      <c r="N160" s="23"/>
      <c r="O160" s="89"/>
      <c r="P160" s="23"/>
      <c r="Q160" s="23"/>
      <c r="R160" s="23"/>
      <c r="S160" s="23"/>
      <c r="T160" s="23"/>
      <c r="U160" s="79"/>
      <c r="V160" s="11" t="s">
        <v>34</v>
      </c>
      <c r="Y160" s="12">
        <f t="shared" si="109"/>
        <v>5.9329999999999998</v>
      </c>
      <c r="Z160" s="12">
        <f t="shared" si="109"/>
        <v>213500</v>
      </c>
    </row>
    <row r="161" spans="1:26" s="11" customFormat="1" ht="36" customHeight="1">
      <c r="A161" s="100"/>
      <c r="B161" s="19" t="s">
        <v>31</v>
      </c>
      <c r="C161" s="21"/>
      <c r="D161" s="32">
        <f>SUBTOTAL(9,D157:D160)</f>
        <v>17.533000000000001</v>
      </c>
      <c r="E161" s="32">
        <f>SUBTOTAL(9,E157:E160)</f>
        <v>570580.51848999993</v>
      </c>
      <c r="F161" s="32">
        <f t="shared" ref="F161:I161" si="113">SUM(F157:F160)</f>
        <v>12.333</v>
      </c>
      <c r="G161" s="23">
        <f t="shared" si="113"/>
        <v>388580.51848999999</v>
      </c>
      <c r="H161" s="23">
        <f t="shared" si="113"/>
        <v>341950.84975525108</v>
      </c>
      <c r="I161" s="23">
        <f t="shared" si="113"/>
        <v>46629.668734748935</v>
      </c>
      <c r="J161" s="23"/>
      <c r="K161" s="32">
        <f>SUM(K157:K160)</f>
        <v>5.2</v>
      </c>
      <c r="L161" s="23">
        <f>SUM(L157:L160)</f>
        <v>182000</v>
      </c>
      <c r="M161" s="23">
        <f>SUM(M157:M160)</f>
        <v>149239.99904042375</v>
      </c>
      <c r="N161" s="23">
        <f>SUM(N157:N160)</f>
        <v>32760.000959576253</v>
      </c>
      <c r="O161" s="89"/>
      <c r="P161" s="23"/>
      <c r="Q161" s="23"/>
      <c r="R161" s="23"/>
      <c r="S161" s="23"/>
      <c r="T161" s="23"/>
      <c r="U161" s="79"/>
      <c r="Y161" s="12">
        <f t="shared" si="109"/>
        <v>17.533000000000001</v>
      </c>
      <c r="Z161" s="12">
        <f t="shared" si="109"/>
        <v>570580.51848999993</v>
      </c>
    </row>
    <row r="162" spans="1:26" s="11" customFormat="1" ht="38.25" customHeight="1">
      <c r="A162" s="134" t="s">
        <v>89</v>
      </c>
      <c r="B162" s="134"/>
      <c r="C162" s="134"/>
      <c r="D162" s="27">
        <f>D161</f>
        <v>17.533000000000001</v>
      </c>
      <c r="E162" s="42">
        <f>E161</f>
        <v>570580.51848999993</v>
      </c>
      <c r="F162" s="27">
        <f>F161</f>
        <v>12.333</v>
      </c>
      <c r="G162" s="42">
        <f t="shared" ref="G162:I162" si="114">G161</f>
        <v>388580.51848999999</v>
      </c>
      <c r="H162" s="42">
        <f t="shared" si="114"/>
        <v>341950.84975525108</v>
      </c>
      <c r="I162" s="42">
        <f t="shared" si="114"/>
        <v>46629.668734748935</v>
      </c>
      <c r="J162" s="42"/>
      <c r="K162" s="27">
        <f>K161</f>
        <v>5.2</v>
      </c>
      <c r="L162" s="42">
        <f t="shared" ref="L162:N162" si="115">L161</f>
        <v>182000</v>
      </c>
      <c r="M162" s="42">
        <f t="shared" si="115"/>
        <v>149239.99904042375</v>
      </c>
      <c r="N162" s="42">
        <f t="shared" si="115"/>
        <v>32760.000959576253</v>
      </c>
      <c r="O162" s="88"/>
      <c r="P162" s="34"/>
      <c r="Q162" s="34"/>
      <c r="R162" s="34"/>
      <c r="S162" s="34"/>
      <c r="T162" s="34"/>
      <c r="U162" s="79">
        <f>F162+K162+P162</f>
        <v>17.533000000000001</v>
      </c>
      <c r="V162" s="12">
        <f>G162+L162+Q162</f>
        <v>570580.51848999993</v>
      </c>
      <c r="Y162" s="12">
        <f t="shared" si="109"/>
        <v>17.533000000000001</v>
      </c>
      <c r="Z162" s="12">
        <f t="shared" si="109"/>
        <v>570580.51848999993</v>
      </c>
    </row>
    <row r="163" spans="1:26" s="11" customFormat="1" ht="36.75" customHeight="1">
      <c r="A163" s="126" t="s">
        <v>47</v>
      </c>
      <c r="B163" s="126"/>
      <c r="C163" s="126"/>
      <c r="D163" s="29"/>
      <c r="E163" s="42"/>
      <c r="F163" s="23"/>
      <c r="G163" s="23"/>
      <c r="H163" s="23"/>
      <c r="I163" s="23"/>
      <c r="J163" s="23"/>
      <c r="K163" s="45"/>
      <c r="L163" s="34"/>
      <c r="M163" s="34"/>
      <c r="N163" s="34"/>
      <c r="O163" s="88"/>
      <c r="P163" s="34"/>
      <c r="Q163" s="34"/>
      <c r="R163" s="34"/>
      <c r="S163" s="34"/>
      <c r="T163" s="34"/>
      <c r="U163" s="78"/>
      <c r="Y163" s="12">
        <f t="shared" si="109"/>
        <v>0</v>
      </c>
      <c r="Z163" s="12">
        <f t="shared" si="109"/>
        <v>0</v>
      </c>
    </row>
    <row r="164" spans="1:26" s="11" customFormat="1" ht="36" customHeight="1">
      <c r="A164" s="99">
        <v>72</v>
      </c>
      <c r="B164" s="33" t="s">
        <v>48</v>
      </c>
      <c r="C164" s="21" t="s">
        <v>26</v>
      </c>
      <c r="D164" s="29">
        <v>6</v>
      </c>
      <c r="E164" s="23">
        <v>321474.54978</v>
      </c>
      <c r="F164" s="22">
        <f>D164</f>
        <v>6</v>
      </c>
      <c r="G164" s="23">
        <f>E164</f>
        <v>321474.54978</v>
      </c>
      <c r="H164" s="23">
        <f t="shared" ref="H164:H165" si="116">G164*0.879999983231406</f>
        <v>282897.59841572383</v>
      </c>
      <c r="I164" s="23">
        <f>G164-H164</f>
        <v>38576.951364276174</v>
      </c>
      <c r="J164" s="23"/>
      <c r="K164" s="45"/>
      <c r="L164" s="34"/>
      <c r="M164" s="34"/>
      <c r="N164" s="34"/>
      <c r="O164" s="88"/>
      <c r="P164" s="34"/>
      <c r="Q164" s="34"/>
      <c r="R164" s="34"/>
      <c r="S164" s="34"/>
      <c r="T164" s="34"/>
      <c r="U164" s="78"/>
      <c r="Y164" s="12">
        <f t="shared" si="109"/>
        <v>6</v>
      </c>
      <c r="Z164" s="12">
        <f t="shared" si="109"/>
        <v>321474.54978</v>
      </c>
    </row>
    <row r="165" spans="1:26" s="11" customFormat="1" ht="49.5" customHeight="1">
      <c r="A165" s="99">
        <v>73</v>
      </c>
      <c r="B165" s="33" t="s">
        <v>103</v>
      </c>
      <c r="C165" s="21" t="s">
        <v>26</v>
      </c>
      <c r="D165" s="29">
        <v>3.713000000000001</v>
      </c>
      <c r="E165" s="23">
        <v>235000</v>
      </c>
      <c r="F165" s="22">
        <f>D165</f>
        <v>3.713000000000001</v>
      </c>
      <c r="G165" s="23">
        <f>E165</f>
        <v>235000</v>
      </c>
      <c r="H165" s="23">
        <f t="shared" si="116"/>
        <v>206799.99605938041</v>
      </c>
      <c r="I165" s="23">
        <f>G165-H165</f>
        <v>28200.003940619587</v>
      </c>
      <c r="J165" s="23"/>
      <c r="K165" s="23"/>
      <c r="L165" s="23"/>
      <c r="M165" s="23"/>
      <c r="N165" s="23"/>
      <c r="O165" s="88"/>
      <c r="P165" s="34"/>
      <c r="Q165" s="34"/>
      <c r="R165" s="34"/>
      <c r="S165" s="34"/>
      <c r="T165" s="34"/>
      <c r="U165" s="78"/>
      <c r="Y165" s="12">
        <f t="shared" si="109"/>
        <v>3.713000000000001</v>
      </c>
      <c r="Z165" s="12">
        <f t="shared" si="109"/>
        <v>235000</v>
      </c>
    </row>
    <row r="166" spans="1:26" s="11" customFormat="1" ht="48" customHeight="1">
      <c r="A166" s="99">
        <v>74</v>
      </c>
      <c r="B166" s="33" t="s">
        <v>102</v>
      </c>
      <c r="C166" s="21" t="s">
        <v>26</v>
      </c>
      <c r="D166" s="29">
        <v>5.5</v>
      </c>
      <c r="E166" s="23">
        <f>D166*80000</f>
        <v>440000</v>
      </c>
      <c r="F166" s="22"/>
      <c r="G166" s="23"/>
      <c r="H166" s="23"/>
      <c r="I166" s="23"/>
      <c r="J166" s="23"/>
      <c r="K166" s="23">
        <f>D166</f>
        <v>5.5</v>
      </c>
      <c r="L166" s="23">
        <f>E166</f>
        <v>440000</v>
      </c>
      <c r="M166" s="23">
        <f t="shared" ref="M166" si="117">L166*0.819999994727603</f>
        <v>360799.99768014532</v>
      </c>
      <c r="N166" s="23">
        <f>L166-M166</f>
        <v>79200.002319854684</v>
      </c>
      <c r="O166" s="89"/>
      <c r="P166" s="22"/>
      <c r="Q166" s="23"/>
      <c r="R166" s="23"/>
      <c r="S166" s="23"/>
      <c r="T166" s="23"/>
      <c r="U166" s="79"/>
      <c r="V166" s="69"/>
      <c r="Y166" s="12">
        <f t="shared" si="109"/>
        <v>5.5</v>
      </c>
      <c r="Z166" s="12">
        <f t="shared" si="109"/>
        <v>440000</v>
      </c>
    </row>
    <row r="167" spans="1:26" s="11" customFormat="1" ht="47.25" customHeight="1">
      <c r="A167" s="99">
        <v>75</v>
      </c>
      <c r="B167" s="33" t="s">
        <v>152</v>
      </c>
      <c r="C167" s="21" t="s">
        <v>26</v>
      </c>
      <c r="D167" s="29">
        <v>11.52</v>
      </c>
      <c r="E167" s="23">
        <f>D167*80000</f>
        <v>921600</v>
      </c>
      <c r="F167" s="22"/>
      <c r="G167" s="23"/>
      <c r="H167" s="23"/>
      <c r="I167" s="23"/>
      <c r="J167" s="23"/>
      <c r="K167" s="23"/>
      <c r="L167" s="23"/>
      <c r="M167" s="23"/>
      <c r="N167" s="23"/>
      <c r="O167" s="89"/>
      <c r="P167" s="22">
        <f>D167</f>
        <v>11.52</v>
      </c>
      <c r="Q167" s="23">
        <f>E167</f>
        <v>921600</v>
      </c>
      <c r="R167" s="23">
        <f t="shared" ref="R167" si="118">Q167*0.82</f>
        <v>755712</v>
      </c>
      <c r="S167" s="23">
        <f>Q167-R167</f>
        <v>165888</v>
      </c>
      <c r="T167" s="23"/>
      <c r="U167" s="79"/>
      <c r="V167" s="69"/>
      <c r="Y167" s="12">
        <f t="shared" si="109"/>
        <v>11.52</v>
      </c>
      <c r="Z167" s="12">
        <f t="shared" si="109"/>
        <v>921600</v>
      </c>
    </row>
    <row r="168" spans="1:26" s="11" customFormat="1" ht="30.75" customHeight="1">
      <c r="A168" s="100"/>
      <c r="B168" s="19" t="s">
        <v>31</v>
      </c>
      <c r="C168" s="21"/>
      <c r="D168" s="32">
        <f>SUBTOTAL(9,D164:D167)</f>
        <v>26.733000000000001</v>
      </c>
      <c r="E168" s="32">
        <f>SUBTOTAL(9,E164:E167)</f>
        <v>1918074.54978</v>
      </c>
      <c r="F168" s="32">
        <f>SUM(F164:F166)</f>
        <v>9.713000000000001</v>
      </c>
      <c r="G168" s="23">
        <f>SUM(G164:G166)</f>
        <v>556474.54978</v>
      </c>
      <c r="H168" s="23">
        <f>SUM(H164:H166)</f>
        <v>489697.59447510424</v>
      </c>
      <c r="I168" s="23">
        <f>SUM(I164:I166)</f>
        <v>66776.95530489576</v>
      </c>
      <c r="J168" s="23"/>
      <c r="K168" s="32">
        <f>SUM(K164:K166)</f>
        <v>5.5</v>
      </c>
      <c r="L168" s="23">
        <f>SUM(L164:L166)</f>
        <v>440000</v>
      </c>
      <c r="M168" s="23">
        <f>SUM(M164:M166)</f>
        <v>360799.99768014532</v>
      </c>
      <c r="N168" s="23">
        <f>SUM(N164:N166)</f>
        <v>79200.002319854684</v>
      </c>
      <c r="O168" s="89"/>
      <c r="P168" s="23">
        <f>SUM(P166:P167)</f>
        <v>11.52</v>
      </c>
      <c r="Q168" s="23">
        <f>SUM(Q166:Q167)</f>
        <v>921600</v>
      </c>
      <c r="R168" s="23">
        <f>SUM(R166:R167)</f>
        <v>755712</v>
      </c>
      <c r="S168" s="23">
        <f>SUM(S166:S167)</f>
        <v>165888</v>
      </c>
      <c r="T168" s="23"/>
      <c r="U168" s="79"/>
      <c r="Y168" s="12">
        <f t="shared" si="109"/>
        <v>26.733000000000001</v>
      </c>
      <c r="Z168" s="12">
        <f>G168+L168+Q168</f>
        <v>1918074.54978</v>
      </c>
    </row>
    <row r="169" spans="1:26" s="11" customFormat="1" ht="27.75" customHeight="1">
      <c r="A169" s="100"/>
      <c r="B169" s="19" t="s">
        <v>32</v>
      </c>
      <c r="C169" s="21"/>
      <c r="D169" s="26"/>
      <c r="E169" s="23"/>
      <c r="F169" s="23"/>
      <c r="G169" s="23"/>
      <c r="H169" s="23"/>
      <c r="I169" s="23"/>
      <c r="J169" s="23"/>
      <c r="K169" s="45"/>
      <c r="L169" s="34"/>
      <c r="M169" s="34"/>
      <c r="N169" s="34"/>
      <c r="O169" s="88"/>
      <c r="P169" s="34"/>
      <c r="Q169" s="34"/>
      <c r="R169" s="34"/>
      <c r="S169" s="34"/>
      <c r="T169" s="34"/>
      <c r="U169" s="78"/>
      <c r="Y169" s="12">
        <f t="shared" si="109"/>
        <v>0</v>
      </c>
      <c r="Z169" s="12">
        <f t="shared" si="109"/>
        <v>0</v>
      </c>
    </row>
    <row r="170" spans="1:26" s="11" customFormat="1" ht="32.25" customHeight="1">
      <c r="A170" s="137" t="s">
        <v>49</v>
      </c>
      <c r="B170" s="137"/>
      <c r="C170" s="137"/>
      <c r="D170" s="27">
        <f>SUM(D168:D169)</f>
        <v>26.733000000000001</v>
      </c>
      <c r="E170" s="42">
        <f>SUM(E168:E169)</f>
        <v>1918074.54978</v>
      </c>
      <c r="F170" s="27">
        <f>SUM(F168:F169)</f>
        <v>9.713000000000001</v>
      </c>
      <c r="G170" s="42">
        <f t="shared" ref="G170:H170" si="119">SUM(G168:G169)</f>
        <v>556474.54978</v>
      </c>
      <c r="H170" s="42">
        <f t="shared" si="119"/>
        <v>489697.59447510424</v>
      </c>
      <c r="I170" s="42">
        <f>SUM(I168:I169)</f>
        <v>66776.95530489576</v>
      </c>
      <c r="J170" s="42">
        <f>SUM(J168:J169)</f>
        <v>0</v>
      </c>
      <c r="K170" s="27">
        <f>SUM(K168:K169)</f>
        <v>5.5</v>
      </c>
      <c r="L170" s="42">
        <f t="shared" ref="L170:N170" si="120">SUM(L168:L169)</f>
        <v>440000</v>
      </c>
      <c r="M170" s="42">
        <f t="shared" si="120"/>
        <v>360799.99768014532</v>
      </c>
      <c r="N170" s="42">
        <f t="shared" si="120"/>
        <v>79200.002319854684</v>
      </c>
      <c r="O170" s="87"/>
      <c r="P170" s="27">
        <f>SUM(P168:P169)</f>
        <v>11.52</v>
      </c>
      <c r="Q170" s="42">
        <f t="shared" ref="Q170:S170" si="121">SUM(Q168:Q169)</f>
        <v>921600</v>
      </c>
      <c r="R170" s="42">
        <f t="shared" si="121"/>
        <v>755712</v>
      </c>
      <c r="S170" s="42">
        <f t="shared" si="121"/>
        <v>165888</v>
      </c>
      <c r="T170" s="42"/>
      <c r="U170" s="79">
        <f>F170+K170+P170</f>
        <v>26.733000000000001</v>
      </c>
      <c r="V170" s="12">
        <f>G170+L170+Q170</f>
        <v>1918074.54978</v>
      </c>
      <c r="Y170" s="12">
        <f t="shared" si="109"/>
        <v>26.733000000000001</v>
      </c>
      <c r="Z170" s="12">
        <f t="shared" si="109"/>
        <v>1918074.54978</v>
      </c>
    </row>
    <row r="171" spans="1:26" s="11" customFormat="1" ht="33.75" customHeight="1">
      <c r="A171" s="126" t="s">
        <v>90</v>
      </c>
      <c r="B171" s="126"/>
      <c r="C171" s="126"/>
      <c r="D171" s="29"/>
      <c r="E171" s="42"/>
      <c r="F171" s="42"/>
      <c r="G171" s="42"/>
      <c r="H171" s="42"/>
      <c r="I171" s="42"/>
      <c r="J171" s="42"/>
      <c r="K171" s="45"/>
      <c r="L171" s="34"/>
      <c r="M171" s="34"/>
      <c r="N171" s="34"/>
      <c r="O171" s="88"/>
      <c r="P171" s="34"/>
      <c r="Q171" s="34"/>
      <c r="R171" s="34"/>
      <c r="S171" s="34"/>
      <c r="T171" s="34"/>
      <c r="U171" s="78"/>
      <c r="Y171" s="12">
        <f t="shared" si="109"/>
        <v>0</v>
      </c>
      <c r="Z171" s="12">
        <f t="shared" si="109"/>
        <v>0</v>
      </c>
    </row>
    <row r="172" spans="1:26" s="11" customFormat="1" ht="35.25" customHeight="1">
      <c r="A172" s="99">
        <v>76</v>
      </c>
      <c r="B172" s="33" t="s">
        <v>57</v>
      </c>
      <c r="C172" s="21" t="s">
        <v>17</v>
      </c>
      <c r="D172" s="22">
        <v>2.8</v>
      </c>
      <c r="E172" s="23">
        <v>90407.81336</v>
      </c>
      <c r="F172" s="22">
        <f>D172</f>
        <v>2.8</v>
      </c>
      <c r="G172" s="23">
        <f>E172</f>
        <v>90407.81336</v>
      </c>
      <c r="H172" s="23">
        <f t="shared" ref="H172" si="122">G172*0.879999983231406</f>
        <v>79558.874240788093</v>
      </c>
      <c r="I172" s="23">
        <f>G172-H172</f>
        <v>10848.939119211907</v>
      </c>
      <c r="J172" s="23"/>
      <c r="K172" s="45"/>
      <c r="L172" s="34"/>
      <c r="M172" s="34"/>
      <c r="N172" s="34"/>
      <c r="O172" s="88"/>
      <c r="P172" s="34"/>
      <c r="Q172" s="34"/>
      <c r="R172" s="34"/>
      <c r="S172" s="34"/>
      <c r="T172" s="34"/>
      <c r="U172" s="78"/>
      <c r="Y172" s="12">
        <f t="shared" si="109"/>
        <v>2.8</v>
      </c>
      <c r="Z172" s="12">
        <f t="shared" si="109"/>
        <v>90407.81336</v>
      </c>
    </row>
    <row r="173" spans="1:26" s="11" customFormat="1" ht="47.25" customHeight="1">
      <c r="A173" s="99">
        <v>77</v>
      </c>
      <c r="B173" s="33" t="s">
        <v>104</v>
      </c>
      <c r="C173" s="21" t="s">
        <v>17</v>
      </c>
      <c r="D173" s="22">
        <v>2.9</v>
      </c>
      <c r="E173" s="28">
        <v>101500</v>
      </c>
      <c r="F173" s="22"/>
      <c r="G173" s="23"/>
      <c r="H173" s="23"/>
      <c r="I173" s="23"/>
      <c r="J173" s="23"/>
      <c r="K173" s="22">
        <f>D173</f>
        <v>2.9</v>
      </c>
      <c r="L173" s="23">
        <f>E173</f>
        <v>101500</v>
      </c>
      <c r="M173" s="23">
        <v>83229.999464851702</v>
      </c>
      <c r="N173" s="23">
        <f>L173-M173</f>
        <v>18270.000535148298</v>
      </c>
      <c r="O173" s="88"/>
      <c r="P173" s="34"/>
      <c r="Q173" s="34"/>
      <c r="R173" s="34"/>
      <c r="S173" s="34"/>
      <c r="T173" s="34"/>
      <c r="U173" s="78"/>
      <c r="Y173" s="12">
        <f t="shared" si="109"/>
        <v>2.9</v>
      </c>
      <c r="Z173" s="12">
        <f t="shared" si="109"/>
        <v>101500</v>
      </c>
    </row>
    <row r="174" spans="1:26" s="11" customFormat="1" ht="50.25" customHeight="1">
      <c r="A174" s="99">
        <v>78</v>
      </c>
      <c r="B174" s="33" t="s">
        <v>146</v>
      </c>
      <c r="C174" s="21" t="s">
        <v>28</v>
      </c>
      <c r="D174" s="22">
        <v>8.3000000000000007</v>
      </c>
      <c r="E174" s="28">
        <v>290500</v>
      </c>
      <c r="F174" s="22"/>
      <c r="G174" s="23"/>
      <c r="H174" s="23"/>
      <c r="I174" s="23"/>
      <c r="J174" s="23"/>
      <c r="K174" s="22">
        <f>D174</f>
        <v>8.3000000000000007</v>
      </c>
      <c r="L174" s="23">
        <f>E174</f>
        <v>290500</v>
      </c>
      <c r="M174" s="23">
        <f t="shared" ref="M174" si="123">L174*0.819999994727603</f>
        <v>238209.99846836866</v>
      </c>
      <c r="N174" s="23">
        <f>L174-M174</f>
        <v>52290.001531631337</v>
      </c>
      <c r="O174" s="88"/>
      <c r="P174" s="34"/>
      <c r="Q174" s="34"/>
      <c r="R174" s="34"/>
      <c r="S174" s="34"/>
      <c r="T174" s="34"/>
      <c r="U174" s="78"/>
      <c r="Y174" s="12">
        <f t="shared" si="109"/>
        <v>8.3000000000000007</v>
      </c>
      <c r="Z174" s="12">
        <f t="shared" si="109"/>
        <v>290500</v>
      </c>
    </row>
    <row r="175" spans="1:26" s="11" customFormat="1" ht="47.25" customHeight="1">
      <c r="A175" s="99">
        <v>79</v>
      </c>
      <c r="B175" s="33" t="s">
        <v>169</v>
      </c>
      <c r="C175" s="21" t="s">
        <v>28</v>
      </c>
      <c r="D175" s="22">
        <v>14</v>
      </c>
      <c r="E175" s="28">
        <v>560000</v>
      </c>
      <c r="F175" s="22"/>
      <c r="G175" s="23"/>
      <c r="H175" s="23"/>
      <c r="I175" s="23"/>
      <c r="J175" s="23"/>
      <c r="K175" s="22"/>
      <c r="L175" s="23"/>
      <c r="M175" s="23"/>
      <c r="N175" s="23"/>
      <c r="O175" s="88"/>
      <c r="P175" s="22">
        <f>D175</f>
        <v>14</v>
      </c>
      <c r="Q175" s="23">
        <f>E175</f>
        <v>560000</v>
      </c>
      <c r="R175" s="23">
        <f t="shared" ref="R175" si="124">Q175*0.82</f>
        <v>459200</v>
      </c>
      <c r="S175" s="23">
        <f>Q175-R175</f>
        <v>100800</v>
      </c>
      <c r="T175" s="88"/>
      <c r="U175" s="78"/>
      <c r="Y175" s="12">
        <f t="shared" si="109"/>
        <v>14</v>
      </c>
      <c r="Z175" s="12">
        <f t="shared" si="109"/>
        <v>560000</v>
      </c>
    </row>
    <row r="176" spans="1:26" s="11" customFormat="1" ht="31.5" customHeight="1">
      <c r="A176" s="100"/>
      <c r="B176" s="19" t="s">
        <v>31</v>
      </c>
      <c r="C176" s="21"/>
      <c r="D176" s="26">
        <f>SUBTOTAL(9,D172:D175)</f>
        <v>28</v>
      </c>
      <c r="E176" s="23">
        <f>SUBTOTAL(9,E172:E175)</f>
        <v>1042407.81336</v>
      </c>
      <c r="F176" s="26">
        <f t="shared" ref="F176:I176" si="125">SUM(F172:F173)</f>
        <v>2.8</v>
      </c>
      <c r="G176" s="23">
        <f t="shared" si="125"/>
        <v>90407.81336</v>
      </c>
      <c r="H176" s="23">
        <f t="shared" si="125"/>
        <v>79558.874240788093</v>
      </c>
      <c r="I176" s="23">
        <f t="shared" si="125"/>
        <v>10848.939119211907</v>
      </c>
      <c r="J176" s="23"/>
      <c r="K176" s="26">
        <f>SUBTOTAL(9,K173:K174)</f>
        <v>11.200000000000001</v>
      </c>
      <c r="L176" s="23">
        <f t="shared" ref="L176:N176" si="126">SUBTOTAL(9,L173:L174)</f>
        <v>392000</v>
      </c>
      <c r="M176" s="23">
        <f t="shared" si="126"/>
        <v>321439.99793322035</v>
      </c>
      <c r="N176" s="23">
        <f t="shared" si="126"/>
        <v>70560.002066779634</v>
      </c>
      <c r="O176" s="88"/>
      <c r="P176" s="26">
        <f>P175</f>
        <v>14</v>
      </c>
      <c r="Q176" s="23">
        <f t="shared" ref="Q176:S177" si="127">Q175</f>
        <v>560000</v>
      </c>
      <c r="R176" s="23">
        <f t="shared" si="127"/>
        <v>459200</v>
      </c>
      <c r="S176" s="23">
        <f t="shared" si="127"/>
        <v>100800</v>
      </c>
      <c r="T176" s="34"/>
      <c r="U176" s="78"/>
      <c r="Y176" s="12">
        <f t="shared" si="109"/>
        <v>28</v>
      </c>
      <c r="Z176" s="12">
        <f t="shared" si="109"/>
        <v>1042407.81336</v>
      </c>
    </row>
    <row r="177" spans="1:26" s="11" customFormat="1" ht="40.5" customHeight="1">
      <c r="A177" s="134" t="s">
        <v>91</v>
      </c>
      <c r="B177" s="134"/>
      <c r="C177" s="134"/>
      <c r="D177" s="27">
        <f>D176</f>
        <v>28</v>
      </c>
      <c r="E177" s="42">
        <f>E176</f>
        <v>1042407.81336</v>
      </c>
      <c r="F177" s="27">
        <f>F176</f>
        <v>2.8</v>
      </c>
      <c r="G177" s="42">
        <f t="shared" ref="G177:I177" si="128">G176</f>
        <v>90407.81336</v>
      </c>
      <c r="H177" s="42">
        <f t="shared" si="128"/>
        <v>79558.874240788093</v>
      </c>
      <c r="I177" s="42">
        <f t="shared" si="128"/>
        <v>10848.939119211907</v>
      </c>
      <c r="J177" s="42"/>
      <c r="K177" s="27">
        <f>K176</f>
        <v>11.200000000000001</v>
      </c>
      <c r="L177" s="42">
        <f t="shared" ref="L177:N177" si="129">L176</f>
        <v>392000</v>
      </c>
      <c r="M177" s="42">
        <f t="shared" si="129"/>
        <v>321439.99793322035</v>
      </c>
      <c r="N177" s="42">
        <f t="shared" si="129"/>
        <v>70560.002066779634</v>
      </c>
      <c r="O177" s="88"/>
      <c r="P177" s="27">
        <f>P176</f>
        <v>14</v>
      </c>
      <c r="Q177" s="42">
        <f t="shared" si="127"/>
        <v>560000</v>
      </c>
      <c r="R177" s="42">
        <f t="shared" si="127"/>
        <v>459200</v>
      </c>
      <c r="S177" s="42">
        <f t="shared" si="127"/>
        <v>100800</v>
      </c>
      <c r="T177" s="34"/>
      <c r="U177" s="79">
        <f>F177+K177+P177</f>
        <v>28</v>
      </c>
      <c r="V177" s="12">
        <f>G177+L177+Q177</f>
        <v>1042407.81336</v>
      </c>
      <c r="Y177" s="12">
        <f t="shared" si="109"/>
        <v>28</v>
      </c>
      <c r="Z177" s="12">
        <f t="shared" si="109"/>
        <v>1042407.81336</v>
      </c>
    </row>
    <row r="178" spans="1:26" s="11" customFormat="1" ht="48.75" customHeight="1">
      <c r="A178" s="126" t="s">
        <v>50</v>
      </c>
      <c r="B178" s="126"/>
      <c r="C178" s="126"/>
      <c r="D178" s="29"/>
      <c r="E178" s="42"/>
      <c r="F178" s="23"/>
      <c r="G178" s="23"/>
      <c r="H178" s="23"/>
      <c r="I178" s="23"/>
      <c r="J178" s="23"/>
      <c r="K178" s="45"/>
      <c r="L178" s="34"/>
      <c r="M178" s="34"/>
      <c r="N178" s="34"/>
      <c r="O178" s="88"/>
      <c r="P178" s="34"/>
      <c r="Q178" s="34"/>
      <c r="R178" s="34"/>
      <c r="S178" s="34"/>
      <c r="T178" s="34"/>
      <c r="U178" s="78"/>
      <c r="Y178" s="12">
        <f t="shared" si="109"/>
        <v>0</v>
      </c>
      <c r="Z178" s="12">
        <f t="shared" si="109"/>
        <v>0</v>
      </c>
    </row>
    <row r="179" spans="1:26" s="11" customFormat="1" ht="90" customHeight="1">
      <c r="A179" s="99">
        <v>80</v>
      </c>
      <c r="B179" s="33" t="s">
        <v>147</v>
      </c>
      <c r="C179" s="21" t="s">
        <v>17</v>
      </c>
      <c r="D179" s="29">
        <v>5.3330000000000002</v>
      </c>
      <c r="E179" s="28">
        <v>186655</v>
      </c>
      <c r="F179" s="23"/>
      <c r="G179" s="23"/>
      <c r="H179" s="23"/>
      <c r="I179" s="23"/>
      <c r="J179" s="23"/>
      <c r="K179" s="22">
        <f>D179</f>
        <v>5.3330000000000002</v>
      </c>
      <c r="L179" s="23">
        <f>E179</f>
        <v>186655</v>
      </c>
      <c r="M179" s="23">
        <f t="shared" ref="M179" si="130">L179*0.819999994727603</f>
        <v>153057.09901588073</v>
      </c>
      <c r="N179" s="23">
        <f>L179-M179</f>
        <v>33597.900984119275</v>
      </c>
      <c r="O179" s="88"/>
      <c r="P179" s="22"/>
      <c r="Q179" s="23"/>
      <c r="R179" s="23"/>
      <c r="S179" s="23"/>
      <c r="T179" s="34"/>
      <c r="U179" s="78"/>
      <c r="Y179" s="12">
        <f t="shared" si="109"/>
        <v>5.3330000000000002</v>
      </c>
      <c r="Z179" s="12">
        <f t="shared" si="109"/>
        <v>186655</v>
      </c>
    </row>
    <row r="180" spans="1:26" s="11" customFormat="1" ht="48.75" customHeight="1">
      <c r="A180" s="99">
        <v>81</v>
      </c>
      <c r="B180" s="33" t="s">
        <v>137</v>
      </c>
      <c r="C180" s="21" t="s">
        <v>26</v>
      </c>
      <c r="D180" s="29">
        <v>2.1</v>
      </c>
      <c r="E180" s="28">
        <f>D180*80000</f>
        <v>168000</v>
      </c>
      <c r="F180" s="23"/>
      <c r="G180" s="23"/>
      <c r="H180" s="23"/>
      <c r="I180" s="23"/>
      <c r="J180" s="23"/>
      <c r="K180" s="45"/>
      <c r="L180" s="34"/>
      <c r="M180" s="34"/>
      <c r="N180" s="34"/>
      <c r="O180" s="88"/>
      <c r="P180" s="22">
        <f>D180</f>
        <v>2.1</v>
      </c>
      <c r="Q180" s="23">
        <f>E180</f>
        <v>168000</v>
      </c>
      <c r="R180" s="23">
        <f t="shared" ref="R180:R181" si="131">Q180*0.82</f>
        <v>137760</v>
      </c>
      <c r="S180" s="23">
        <f>Q180-R180</f>
        <v>30240</v>
      </c>
      <c r="T180" s="34"/>
      <c r="U180" s="78"/>
      <c r="Y180" s="12">
        <f t="shared" si="109"/>
        <v>2.1</v>
      </c>
      <c r="Z180" s="12">
        <f t="shared" si="109"/>
        <v>168000</v>
      </c>
    </row>
    <row r="181" spans="1:26" s="11" customFormat="1" ht="45" customHeight="1">
      <c r="A181" s="99">
        <v>82</v>
      </c>
      <c r="B181" s="33" t="s">
        <v>121</v>
      </c>
      <c r="C181" s="21" t="s">
        <v>28</v>
      </c>
      <c r="D181" s="22">
        <v>4.2</v>
      </c>
      <c r="E181" s="28">
        <v>410081.65314000001</v>
      </c>
      <c r="F181" s="23"/>
      <c r="G181" s="23"/>
      <c r="H181" s="23"/>
      <c r="I181" s="23"/>
      <c r="J181" s="23"/>
      <c r="K181" s="45"/>
      <c r="L181" s="34"/>
      <c r="M181" s="34"/>
      <c r="N181" s="34"/>
      <c r="O181" s="88"/>
      <c r="P181" s="22">
        <f>D181</f>
        <v>4.2</v>
      </c>
      <c r="Q181" s="23">
        <f>E181</f>
        <v>410081.65314000001</v>
      </c>
      <c r="R181" s="23">
        <f t="shared" si="131"/>
        <v>336266.95557479997</v>
      </c>
      <c r="S181" s="23">
        <f>Q181-R181</f>
        <v>73814.69756520004</v>
      </c>
      <c r="T181" s="34"/>
      <c r="U181" s="78"/>
      <c r="Y181" s="12">
        <f t="shared" si="109"/>
        <v>4.2</v>
      </c>
      <c r="Z181" s="12">
        <f t="shared" si="109"/>
        <v>410081.65314000001</v>
      </c>
    </row>
    <row r="182" spans="1:26" s="11" customFormat="1" ht="32.25" customHeight="1">
      <c r="A182" s="99"/>
      <c r="B182" s="19" t="s">
        <v>31</v>
      </c>
      <c r="C182" s="21"/>
      <c r="D182" s="29">
        <f>SUBTOTAL(9,D179:D181)</f>
        <v>11.632999999999999</v>
      </c>
      <c r="E182" s="32">
        <f>SUBTOTAL(9,E179:E181)</f>
        <v>764736.65314000007</v>
      </c>
      <c r="F182" s="23"/>
      <c r="G182" s="23"/>
      <c r="H182" s="23"/>
      <c r="I182" s="23"/>
      <c r="J182" s="23"/>
      <c r="K182" s="23">
        <f>K179</f>
        <v>5.3330000000000002</v>
      </c>
      <c r="L182" s="23">
        <f t="shared" ref="L182:N182" si="132">L179</f>
        <v>186655</v>
      </c>
      <c r="M182" s="23">
        <f t="shared" si="132"/>
        <v>153057.09901588073</v>
      </c>
      <c r="N182" s="23">
        <f t="shared" si="132"/>
        <v>33597.900984119275</v>
      </c>
      <c r="O182" s="34"/>
      <c r="P182" s="23">
        <f>SUBTOTAL(9,P180:P181)</f>
        <v>6.3000000000000007</v>
      </c>
      <c r="Q182" s="23">
        <f>SUBTOTAL(9,Q180:Q181)</f>
        <v>578081.65314000007</v>
      </c>
      <c r="R182" s="23">
        <f>SUBTOTAL(9,R180:R181)</f>
        <v>474026.95557479997</v>
      </c>
      <c r="S182" s="23">
        <f>SUBTOTAL(9,S180:S181)</f>
        <v>104054.69756520004</v>
      </c>
      <c r="T182" s="34"/>
      <c r="U182" s="78"/>
      <c r="Y182" s="12">
        <f t="shared" si="109"/>
        <v>11.633000000000001</v>
      </c>
      <c r="Z182" s="12">
        <f t="shared" si="109"/>
        <v>764736.65314000007</v>
      </c>
    </row>
    <row r="183" spans="1:26" s="11" customFormat="1" ht="32.25" customHeight="1">
      <c r="A183" s="99"/>
      <c r="B183" s="19" t="s">
        <v>32</v>
      </c>
      <c r="C183" s="21"/>
      <c r="D183" s="29">
        <f>F183+K183+P183</f>
        <v>1.49</v>
      </c>
      <c r="E183" s="23">
        <f>G183+L183+Q183</f>
        <v>35896.150999999998</v>
      </c>
      <c r="F183" s="23"/>
      <c r="G183" s="23"/>
      <c r="H183" s="23" t="s">
        <v>30</v>
      </c>
      <c r="I183" s="23"/>
      <c r="J183" s="23"/>
      <c r="K183" s="22"/>
      <c r="L183" s="23"/>
      <c r="M183" s="23"/>
      <c r="N183" s="23"/>
      <c r="O183" s="23"/>
      <c r="P183" s="23">
        <v>1.49</v>
      </c>
      <c r="Q183" s="23">
        <v>35896.150999999998</v>
      </c>
      <c r="R183" s="23">
        <v>27668.799999999999</v>
      </c>
      <c r="S183" s="23">
        <f>Q183-R183-T183</f>
        <v>6073.58194</v>
      </c>
      <c r="T183" s="23">
        <v>2153.7690599999987</v>
      </c>
      <c r="U183" s="78"/>
      <c r="Y183" s="12">
        <f t="shared" si="109"/>
        <v>1.49</v>
      </c>
      <c r="Z183" s="12">
        <f t="shared" si="109"/>
        <v>35896.150999999998</v>
      </c>
    </row>
    <row r="184" spans="1:26" s="11" customFormat="1" ht="51.75" customHeight="1">
      <c r="A184" s="134" t="s">
        <v>51</v>
      </c>
      <c r="B184" s="134"/>
      <c r="C184" s="134"/>
      <c r="D184" s="27">
        <f>SUM(D182:D183)</f>
        <v>13.122999999999999</v>
      </c>
      <c r="E184" s="42">
        <f>SUM(E182:E183)</f>
        <v>800632.80414000002</v>
      </c>
      <c r="F184" s="42"/>
      <c r="G184" s="42"/>
      <c r="H184" s="42"/>
      <c r="I184" s="42"/>
      <c r="J184" s="42"/>
      <c r="K184" s="27">
        <f>K182</f>
        <v>5.3330000000000002</v>
      </c>
      <c r="L184" s="42">
        <f t="shared" ref="L184:N184" si="133">L182</f>
        <v>186655</v>
      </c>
      <c r="M184" s="42">
        <f t="shared" si="133"/>
        <v>153057.09901588073</v>
      </c>
      <c r="N184" s="42">
        <f t="shared" si="133"/>
        <v>33597.900984119275</v>
      </c>
      <c r="O184" s="42"/>
      <c r="P184" s="27">
        <f>SUM(P182:P183)</f>
        <v>7.7900000000000009</v>
      </c>
      <c r="Q184" s="42">
        <f>SUM(Q182:Q183)</f>
        <v>613977.80414000002</v>
      </c>
      <c r="R184" s="42">
        <f>SUM(R182:R183)</f>
        <v>501695.75557479996</v>
      </c>
      <c r="S184" s="42">
        <f>SUM(S182:S183)</f>
        <v>110128.27950520004</v>
      </c>
      <c r="T184" s="42">
        <f>SUM(T182:T183)</f>
        <v>2153.7690599999987</v>
      </c>
      <c r="U184" s="79">
        <f>F184+K184+P184</f>
        <v>13.123000000000001</v>
      </c>
      <c r="V184" s="12">
        <f>Q184</f>
        <v>613977.80414000002</v>
      </c>
      <c r="Y184" s="12">
        <f t="shared" si="109"/>
        <v>13.123000000000001</v>
      </c>
      <c r="Z184" s="12">
        <f t="shared" si="109"/>
        <v>800632.80414000002</v>
      </c>
    </row>
    <row r="185" spans="1:26" s="11" customFormat="1" ht="33" customHeight="1">
      <c r="A185" s="126" t="s">
        <v>52</v>
      </c>
      <c r="B185" s="126"/>
      <c r="C185" s="126"/>
      <c r="D185" s="29"/>
      <c r="E185" s="42"/>
      <c r="F185" s="23"/>
      <c r="G185" s="23"/>
      <c r="H185" s="23"/>
      <c r="I185" s="23"/>
      <c r="J185" s="23"/>
      <c r="K185" s="45"/>
      <c r="L185" s="34"/>
      <c r="M185" s="34"/>
      <c r="N185" s="34"/>
      <c r="O185" s="88"/>
      <c r="P185" s="34"/>
      <c r="Q185" s="34"/>
      <c r="R185" s="34"/>
      <c r="S185" s="34"/>
      <c r="T185" s="34"/>
      <c r="U185" s="78"/>
      <c r="Y185" s="12">
        <f t="shared" si="109"/>
        <v>0</v>
      </c>
      <c r="Z185" s="12">
        <f t="shared" si="109"/>
        <v>0</v>
      </c>
    </row>
    <row r="186" spans="1:26" s="11" customFormat="1" ht="64.5" customHeight="1">
      <c r="A186" s="99">
        <v>83</v>
      </c>
      <c r="B186" s="33" t="s">
        <v>106</v>
      </c>
      <c r="C186" s="21" t="s">
        <v>28</v>
      </c>
      <c r="D186" s="29">
        <v>2.85</v>
      </c>
      <c r="E186" s="23">
        <v>114000</v>
      </c>
      <c r="F186" s="22"/>
      <c r="G186" s="23"/>
      <c r="H186" s="23"/>
      <c r="I186" s="23"/>
      <c r="J186" s="23"/>
      <c r="K186" s="22">
        <f>D186</f>
        <v>2.85</v>
      </c>
      <c r="L186" s="23">
        <f>E186</f>
        <v>114000</v>
      </c>
      <c r="M186" s="23">
        <f t="shared" ref="M186" si="134">L186*0.819999994727603</f>
        <v>93479.999398946748</v>
      </c>
      <c r="N186" s="23">
        <f>L186-M186</f>
        <v>20520.000601053252</v>
      </c>
      <c r="O186" s="88"/>
      <c r="P186" s="34"/>
      <c r="Q186" s="34"/>
      <c r="R186" s="34"/>
      <c r="S186" s="34"/>
      <c r="T186" s="34"/>
      <c r="U186" s="78"/>
      <c r="W186" s="12"/>
      <c r="Y186" s="12">
        <f t="shared" si="109"/>
        <v>2.85</v>
      </c>
      <c r="Z186" s="12">
        <f t="shared" si="109"/>
        <v>114000</v>
      </c>
    </row>
    <row r="187" spans="1:26" s="11" customFormat="1" ht="50.25" customHeight="1">
      <c r="A187" s="99">
        <v>84</v>
      </c>
      <c r="B187" s="33" t="s">
        <v>153</v>
      </c>
      <c r="C187" s="21" t="s">
        <v>17</v>
      </c>
      <c r="D187" s="29">
        <v>12.2</v>
      </c>
      <c r="E187" s="23">
        <v>488000</v>
      </c>
      <c r="F187" s="22"/>
      <c r="G187" s="23"/>
      <c r="H187" s="23"/>
      <c r="I187" s="23"/>
      <c r="J187" s="23"/>
      <c r="K187" s="22"/>
      <c r="L187" s="23"/>
      <c r="M187" s="23"/>
      <c r="N187" s="23"/>
      <c r="O187" s="88"/>
      <c r="P187" s="22">
        <f>D187</f>
        <v>12.2</v>
      </c>
      <c r="Q187" s="23">
        <f>E187</f>
        <v>488000</v>
      </c>
      <c r="R187" s="23">
        <f t="shared" ref="R187" si="135">Q187*0.82</f>
        <v>400160</v>
      </c>
      <c r="S187" s="23">
        <f>Q187-R187</f>
        <v>87840</v>
      </c>
      <c r="T187" s="34"/>
      <c r="U187" s="78"/>
      <c r="W187" s="12"/>
      <c r="Y187" s="12">
        <f t="shared" si="109"/>
        <v>12.2</v>
      </c>
      <c r="Z187" s="12">
        <f t="shared" si="109"/>
        <v>488000</v>
      </c>
    </row>
    <row r="188" spans="1:26" s="11" customFormat="1" ht="64.5" customHeight="1">
      <c r="A188" s="99">
        <v>85</v>
      </c>
      <c r="B188" s="33" t="s">
        <v>170</v>
      </c>
      <c r="C188" s="21" t="s">
        <v>28</v>
      </c>
      <c r="D188" s="29">
        <v>5</v>
      </c>
      <c r="E188" s="23">
        <v>200000</v>
      </c>
      <c r="F188" s="22"/>
      <c r="G188" s="23"/>
      <c r="H188" s="23"/>
      <c r="I188" s="23"/>
      <c r="J188" s="23"/>
      <c r="K188" s="22"/>
      <c r="L188" s="23"/>
      <c r="M188" s="23"/>
      <c r="N188" s="23"/>
      <c r="O188" s="88"/>
      <c r="P188" s="22">
        <f>D188</f>
        <v>5</v>
      </c>
      <c r="Q188" s="23">
        <f>E188</f>
        <v>200000</v>
      </c>
      <c r="R188" s="23">
        <f>Q188*0.82</f>
        <v>164000</v>
      </c>
      <c r="S188" s="23">
        <f>Q188-R188</f>
        <v>36000</v>
      </c>
      <c r="T188" s="34"/>
      <c r="U188" s="78"/>
      <c r="W188" s="12"/>
      <c r="Y188" s="12">
        <f t="shared" si="109"/>
        <v>5</v>
      </c>
      <c r="Z188" s="12">
        <f t="shared" si="109"/>
        <v>200000</v>
      </c>
    </row>
    <row r="189" spans="1:26" s="11" customFormat="1" ht="54.75" customHeight="1">
      <c r="A189" s="99">
        <v>86</v>
      </c>
      <c r="B189" s="33" t="s">
        <v>92</v>
      </c>
      <c r="C189" s="21" t="s">
        <v>19</v>
      </c>
      <c r="D189" s="29">
        <v>5</v>
      </c>
      <c r="E189" s="23">
        <v>200000</v>
      </c>
      <c r="F189" s="22">
        <f>D189</f>
        <v>5</v>
      </c>
      <c r="G189" s="23">
        <f>E189</f>
        <v>200000</v>
      </c>
      <c r="H189" s="23">
        <f t="shared" ref="H189" si="136">G189*0.879999983231406</f>
        <v>175999.99664628122</v>
      </c>
      <c r="I189" s="23">
        <f>G189-H189</f>
        <v>24000.003353718785</v>
      </c>
      <c r="J189" s="23"/>
      <c r="K189" s="22"/>
      <c r="L189" s="23"/>
      <c r="M189" s="23"/>
      <c r="N189" s="23"/>
      <c r="O189" s="89"/>
      <c r="P189" s="23"/>
      <c r="Q189" s="23"/>
      <c r="R189" s="23"/>
      <c r="S189" s="23"/>
      <c r="T189" s="23"/>
      <c r="U189" s="79"/>
      <c r="W189" s="12"/>
      <c r="Y189" s="12">
        <f t="shared" si="109"/>
        <v>5</v>
      </c>
      <c r="Z189" s="12">
        <f t="shared" si="109"/>
        <v>200000</v>
      </c>
    </row>
    <row r="190" spans="1:26" s="11" customFormat="1" ht="30.75" customHeight="1">
      <c r="A190" s="100"/>
      <c r="B190" s="19" t="s">
        <v>31</v>
      </c>
      <c r="C190" s="21"/>
      <c r="D190" s="32">
        <f>SUBTOTAL(9,D186:D189)</f>
        <v>25.049999999999997</v>
      </c>
      <c r="E190" s="23">
        <f>SUBTOTAL(9,E186:E189)</f>
        <v>1002000</v>
      </c>
      <c r="F190" s="32">
        <f>F186+F189</f>
        <v>5</v>
      </c>
      <c r="G190" s="23">
        <f t="shared" ref="G190:I190" si="137">G186+G189</f>
        <v>200000</v>
      </c>
      <c r="H190" s="23">
        <f t="shared" si="137"/>
        <v>175999.99664628122</v>
      </c>
      <c r="I190" s="23">
        <f t="shared" si="137"/>
        <v>24000.003353718785</v>
      </c>
      <c r="J190" s="23"/>
      <c r="K190" s="32">
        <f>K186+K189</f>
        <v>2.85</v>
      </c>
      <c r="L190" s="23">
        <f t="shared" ref="L190:N190" si="138">L186+L189</f>
        <v>114000</v>
      </c>
      <c r="M190" s="23">
        <f t="shared" si="138"/>
        <v>93479.999398946748</v>
      </c>
      <c r="N190" s="23">
        <f t="shared" si="138"/>
        <v>20520.000601053252</v>
      </c>
      <c r="O190" s="89"/>
      <c r="P190" s="23">
        <f>SUBTOTAL(9,P187:P189)</f>
        <v>17.2</v>
      </c>
      <c r="Q190" s="23">
        <f>SUBTOTAL(9,Q187:Q189)</f>
        <v>688000</v>
      </c>
      <c r="R190" s="23">
        <f>SUBTOTAL(9,R187:R189)</f>
        <v>564160</v>
      </c>
      <c r="S190" s="23">
        <f>SUBTOTAL(9,S187:S189)</f>
        <v>123840</v>
      </c>
      <c r="T190" s="23"/>
      <c r="U190" s="79"/>
      <c r="Y190" s="12">
        <f t="shared" si="109"/>
        <v>25.049999999999997</v>
      </c>
      <c r="Z190" s="12">
        <f t="shared" si="109"/>
        <v>1002000</v>
      </c>
    </row>
    <row r="191" spans="1:26" s="11" customFormat="1" ht="31.5" customHeight="1">
      <c r="A191" s="100"/>
      <c r="B191" s="19" t="s">
        <v>32</v>
      </c>
      <c r="C191" s="21"/>
      <c r="D191" s="26">
        <f>F191+K191+P191</f>
        <v>2.2999999999999998</v>
      </c>
      <c r="E191" s="23">
        <f>G191+L191+Q191</f>
        <v>32619.5</v>
      </c>
      <c r="F191" s="23">
        <v>2.2999999999999998</v>
      </c>
      <c r="G191" s="23">
        <v>32619.5</v>
      </c>
      <c r="H191" s="23">
        <v>26982.891760000002</v>
      </c>
      <c r="I191" s="23">
        <f>G191-H191-J191</f>
        <v>3679.5082399999978</v>
      </c>
      <c r="J191" s="23">
        <v>1957.1</v>
      </c>
      <c r="K191" s="45"/>
      <c r="L191" s="34"/>
      <c r="M191" s="34"/>
      <c r="N191" s="34"/>
      <c r="O191" s="88"/>
      <c r="P191" s="34"/>
      <c r="Q191" s="34"/>
      <c r="R191" s="34"/>
      <c r="S191" s="34"/>
      <c r="T191" s="34"/>
      <c r="U191" s="78"/>
      <c r="W191" s="12"/>
      <c r="Y191" s="12">
        <f t="shared" si="109"/>
        <v>2.2999999999999998</v>
      </c>
      <c r="Z191" s="12">
        <f t="shared" si="109"/>
        <v>32619.5</v>
      </c>
    </row>
    <row r="192" spans="1:26" s="11" customFormat="1" ht="40.5" customHeight="1">
      <c r="A192" s="134" t="s">
        <v>53</v>
      </c>
      <c r="B192" s="134"/>
      <c r="C192" s="134"/>
      <c r="D192" s="42">
        <f>SUM(D190:D191)</f>
        <v>27.349999999999998</v>
      </c>
      <c r="E192" s="42">
        <f>SUM(E190:E191)</f>
        <v>1034619.5</v>
      </c>
      <c r="F192" s="42">
        <f>SUM(F190:F191)</f>
        <v>7.3</v>
      </c>
      <c r="G192" s="42">
        <f t="shared" ref="G192:J192" si="139">SUM(G190:G191)</f>
        <v>232619.5</v>
      </c>
      <c r="H192" s="42">
        <f t="shared" si="139"/>
        <v>202982.88840628121</v>
      </c>
      <c r="I192" s="42">
        <f t="shared" si="139"/>
        <v>27679.511593718784</v>
      </c>
      <c r="J192" s="42">
        <f t="shared" si="139"/>
        <v>1957.1</v>
      </c>
      <c r="K192" s="42">
        <f>SUM(K190:K191)</f>
        <v>2.85</v>
      </c>
      <c r="L192" s="42">
        <f t="shared" ref="L192:N192" si="140">SUM(L190:L191)</f>
        <v>114000</v>
      </c>
      <c r="M192" s="42">
        <f t="shared" si="140"/>
        <v>93479.999398946748</v>
      </c>
      <c r="N192" s="42">
        <f t="shared" si="140"/>
        <v>20520.000601053252</v>
      </c>
      <c r="O192" s="87"/>
      <c r="P192" s="42">
        <f>SUM(P190:P191)</f>
        <v>17.2</v>
      </c>
      <c r="Q192" s="42">
        <f t="shared" ref="Q192:S192" si="141">SUM(Q190:Q191)</f>
        <v>688000</v>
      </c>
      <c r="R192" s="42">
        <f t="shared" si="141"/>
        <v>564160</v>
      </c>
      <c r="S192" s="42">
        <f t="shared" si="141"/>
        <v>123840</v>
      </c>
      <c r="T192" s="42"/>
      <c r="U192" s="79">
        <f>F192+K192+P192</f>
        <v>27.35</v>
      </c>
      <c r="V192" s="12">
        <f>G192+L192+Q192</f>
        <v>1034619.5</v>
      </c>
      <c r="Y192" s="12">
        <f t="shared" si="109"/>
        <v>27.35</v>
      </c>
      <c r="Z192" s="12">
        <f t="shared" si="109"/>
        <v>1034619.5</v>
      </c>
    </row>
    <row r="193" spans="1:21" s="11" customFormat="1" ht="33" hidden="1" customHeight="1">
      <c r="A193" s="109"/>
      <c r="B193" s="110"/>
      <c r="C193" s="110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87"/>
      <c r="P193" s="42"/>
      <c r="Q193" s="42"/>
      <c r="R193" s="42"/>
      <c r="S193" s="42"/>
      <c r="T193" s="42"/>
      <c r="U193" s="54"/>
    </row>
    <row r="194" spans="1:21" s="11" customFormat="1" ht="27" hidden="1" customHeight="1">
      <c r="A194" s="111"/>
      <c r="B194" s="67" t="s">
        <v>54</v>
      </c>
      <c r="C194" s="34"/>
      <c r="D194" s="31"/>
      <c r="E194" s="23"/>
      <c r="F194" s="30"/>
      <c r="G194" s="35"/>
      <c r="H194" s="35"/>
      <c r="I194" s="35"/>
      <c r="J194" s="35"/>
      <c r="K194" s="34"/>
      <c r="L194" s="34"/>
      <c r="M194" s="34"/>
      <c r="N194" s="34"/>
      <c r="O194" s="88"/>
      <c r="P194" s="34"/>
      <c r="Q194" s="34"/>
      <c r="R194" s="34"/>
      <c r="S194" s="34"/>
      <c r="T194" s="34"/>
      <c r="U194" s="78"/>
    </row>
    <row r="195" spans="1:21" s="11" customFormat="1" ht="29.25" hidden="1" customHeight="1">
      <c r="A195" s="111"/>
      <c r="B195" s="19" t="s">
        <v>32</v>
      </c>
      <c r="C195" s="34"/>
      <c r="D195" s="29"/>
      <c r="E195" s="23"/>
      <c r="F195" s="30"/>
      <c r="G195" s="35"/>
      <c r="H195" s="35"/>
      <c r="I195" s="35"/>
      <c r="J195" s="35"/>
      <c r="K195" s="34"/>
      <c r="L195" s="34"/>
      <c r="M195" s="34"/>
      <c r="N195" s="34"/>
      <c r="O195" s="88"/>
      <c r="P195" s="34"/>
      <c r="Q195" s="34"/>
      <c r="R195" s="34"/>
      <c r="S195" s="34"/>
      <c r="T195" s="34"/>
      <c r="U195" s="78"/>
    </row>
    <row r="196" spans="1:21" s="11" customFormat="1" ht="34.5" hidden="1" customHeight="1">
      <c r="A196" s="138" t="s">
        <v>55</v>
      </c>
      <c r="B196" s="139"/>
      <c r="C196" s="139"/>
      <c r="D196" s="36">
        <f>SUM(D195)</f>
        <v>0</v>
      </c>
      <c r="E196" s="42">
        <f>SUM(E195)</f>
        <v>0</v>
      </c>
      <c r="F196" s="30"/>
      <c r="G196" s="35"/>
      <c r="H196" s="35"/>
      <c r="I196" s="35"/>
      <c r="J196" s="35"/>
      <c r="K196" s="34"/>
      <c r="L196" s="34"/>
      <c r="M196" s="34"/>
      <c r="N196" s="34"/>
      <c r="O196" s="88"/>
      <c r="P196" s="34"/>
      <c r="Q196" s="34"/>
      <c r="R196" s="34"/>
      <c r="S196" s="34"/>
      <c r="T196" s="34"/>
      <c r="U196" s="78"/>
    </row>
    <row r="197" spans="1:21" s="16" customFormat="1" ht="39.75" hidden="1" customHeight="1">
      <c r="A197" s="37"/>
      <c r="B197" s="140" t="s">
        <v>13</v>
      </c>
      <c r="C197" s="140"/>
      <c r="D197" s="140"/>
      <c r="E197" s="140"/>
      <c r="F197" s="140"/>
      <c r="G197" s="140"/>
      <c r="H197" s="113"/>
      <c r="I197" s="113"/>
      <c r="J197" s="113"/>
      <c r="K197" s="40"/>
      <c r="L197" s="40"/>
      <c r="M197" s="40"/>
      <c r="N197" s="40"/>
      <c r="O197" s="94"/>
      <c r="P197" s="40"/>
      <c r="Q197" s="40"/>
      <c r="R197" s="40"/>
      <c r="S197" s="40"/>
      <c r="T197" s="40"/>
      <c r="U197" s="84"/>
    </row>
    <row r="198" spans="1:21" s="17" customFormat="1" ht="12.75" hidden="1" customHeight="1" thickBot="1">
      <c r="A198" s="141"/>
      <c r="B198" s="141"/>
      <c r="C198" s="141"/>
      <c r="D198" s="59"/>
      <c r="E198" s="60"/>
      <c r="F198" s="61"/>
      <c r="G198" s="62"/>
      <c r="H198" s="63"/>
      <c r="I198" s="63"/>
      <c r="J198" s="64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</row>
    <row r="199" spans="1:21" s="17" customFormat="1">
      <c r="A199" s="18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</row>
    <row r="200" spans="1:21" s="17" customFormat="1">
      <c r="A200" s="18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</row>
    <row r="201" spans="1:21" s="17" customFormat="1">
      <c r="A201" s="18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</row>
    <row r="202" spans="1:21" s="17" customFormat="1">
      <c r="A202" s="18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</row>
    <row r="203" spans="1:21" s="17" customFormat="1">
      <c r="A203" s="18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</row>
    <row r="204" spans="1:21" s="17" customFormat="1">
      <c r="A204" s="18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</row>
    <row r="205" spans="1:21" s="17" customFormat="1">
      <c r="A205" s="18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</row>
    <row r="206" spans="1:21" s="17" customFormat="1">
      <c r="A206" s="18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</row>
    <row r="207" spans="1:21" s="17" customFormat="1">
      <c r="A207" s="18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</row>
    <row r="208" spans="1:21" s="17" customFormat="1">
      <c r="A208" s="18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</row>
    <row r="209" spans="1:21" s="17" customFormat="1">
      <c r="A209" s="18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</row>
    <row r="210" spans="1:21" s="17" customFormat="1">
      <c r="A210" s="18"/>
      <c r="B210" s="17" t="s">
        <v>34</v>
      </c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</row>
    <row r="211" spans="1:21" s="17" customFormat="1">
      <c r="A211" s="18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</row>
    <row r="212" spans="1:21" s="17" customFormat="1">
      <c r="A212" s="18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</row>
    <row r="213" spans="1:21" s="17" customFormat="1">
      <c r="A213" s="18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</row>
    <row r="214" spans="1:21" s="17" customFormat="1">
      <c r="A214" s="18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</row>
    <row r="215" spans="1:21" s="17" customFormat="1">
      <c r="A215" s="18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</row>
    <row r="216" spans="1:21" s="17" customFormat="1">
      <c r="A216" s="18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</row>
    <row r="217" spans="1:21" s="17" customFormat="1">
      <c r="A217" s="18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</row>
    <row r="218" spans="1:21" s="17" customFormat="1">
      <c r="A218" s="18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</row>
    <row r="219" spans="1:21" s="17" customFormat="1">
      <c r="A219" s="18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</row>
    <row r="220" spans="1:21" s="17" customFormat="1">
      <c r="A220" s="18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</row>
    <row r="221" spans="1:21" s="17" customFormat="1">
      <c r="A221" s="18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</row>
    <row r="222" spans="1:21" s="17" customFormat="1">
      <c r="A222" s="18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</row>
    <row r="223" spans="1:21" s="17" customFormat="1">
      <c r="A223" s="18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</row>
    <row r="224" spans="1:21" s="17" customFormat="1">
      <c r="A224" s="18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</row>
    <row r="225" spans="1:21" s="17" customFormat="1">
      <c r="A225" s="18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</row>
    <row r="226" spans="1:21" s="17" customFormat="1">
      <c r="A226" s="18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</row>
    <row r="227" spans="1:21" s="17" customFormat="1">
      <c r="A227" s="18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</row>
    <row r="228" spans="1:21" s="17" customFormat="1">
      <c r="A228" s="18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</row>
    <row r="229" spans="1:21" s="17" customFormat="1">
      <c r="A229" s="18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</row>
    <row r="230" spans="1:21" s="17" customFormat="1">
      <c r="A230" s="18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</row>
    <row r="231" spans="1:21" s="17" customFormat="1">
      <c r="A231" s="18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</row>
    <row r="232" spans="1:21" s="17" customFormat="1">
      <c r="A232" s="18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</row>
    <row r="233" spans="1:21" s="17" customFormat="1">
      <c r="A233" s="18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</row>
    <row r="234" spans="1:21" s="17" customFormat="1">
      <c r="A234" s="18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</row>
    <row r="235" spans="1:21" s="17" customFormat="1">
      <c r="A235" s="18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</row>
    <row r="236" spans="1:21" s="17" customFormat="1">
      <c r="A236" s="18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</row>
    <row r="237" spans="1:21" s="17" customFormat="1">
      <c r="A237" s="18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</row>
    <row r="238" spans="1:21" s="17" customFormat="1">
      <c r="A238" s="18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</row>
    <row r="239" spans="1:21" s="17" customFormat="1">
      <c r="A239" s="18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</row>
    <row r="240" spans="1:21" s="17" customFormat="1">
      <c r="A240" s="18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</row>
    <row r="241" spans="1:21" s="17" customFormat="1">
      <c r="A241" s="18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</row>
    <row r="242" spans="1:21" s="17" customFormat="1">
      <c r="A242" s="18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</row>
    <row r="243" spans="1:21" s="17" customFormat="1">
      <c r="A243" s="18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</row>
    <row r="244" spans="1:21" s="17" customFormat="1">
      <c r="A244" s="18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</row>
    <row r="245" spans="1:21" s="17" customFormat="1">
      <c r="A245" s="18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</row>
    <row r="246" spans="1:21" s="17" customFormat="1">
      <c r="A246" s="18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</row>
    <row r="247" spans="1:21" s="17" customFormat="1">
      <c r="A247" s="18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</row>
    <row r="248" spans="1:21" s="17" customFormat="1">
      <c r="A248" s="18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</row>
    <row r="249" spans="1:21" s="17" customFormat="1">
      <c r="A249" s="18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</row>
    <row r="250" spans="1:21" s="17" customFormat="1">
      <c r="A250" s="18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</row>
    <row r="251" spans="1:21" s="17" customFormat="1">
      <c r="A251" s="18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</row>
    <row r="252" spans="1:21" s="17" customFormat="1">
      <c r="A252" s="18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</row>
    <row r="253" spans="1:21" s="17" customFormat="1">
      <c r="A253" s="18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</row>
    <row r="254" spans="1:21" s="17" customFormat="1">
      <c r="A254" s="18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</row>
    <row r="255" spans="1:21" s="17" customFormat="1">
      <c r="A255" s="18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</row>
    <row r="256" spans="1:21" s="17" customFormat="1">
      <c r="A256" s="18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</row>
    <row r="257" spans="1:21" s="17" customFormat="1">
      <c r="A257" s="18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</row>
    <row r="258" spans="1:21" s="17" customFormat="1">
      <c r="A258" s="18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</row>
    <row r="259" spans="1:21" s="17" customFormat="1">
      <c r="A259" s="18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</row>
    <row r="260" spans="1:21" s="17" customFormat="1">
      <c r="A260" s="18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</row>
    <row r="261" spans="1:21" s="17" customFormat="1">
      <c r="A261" s="18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</row>
    <row r="262" spans="1:21" s="17" customFormat="1">
      <c r="A262" s="18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</row>
    <row r="263" spans="1:21" s="17" customFormat="1">
      <c r="A263" s="18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</row>
    <row r="264" spans="1:21" s="17" customFormat="1">
      <c r="A264" s="18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</row>
    <row r="265" spans="1:21" s="17" customFormat="1">
      <c r="A265" s="18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</row>
    <row r="266" spans="1:21" s="17" customFormat="1">
      <c r="A266" s="18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</row>
    <row r="267" spans="1:21" s="17" customFormat="1">
      <c r="A267" s="18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</row>
    <row r="268" spans="1:21" s="17" customFormat="1">
      <c r="A268" s="18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</row>
    <row r="269" spans="1:21" s="17" customFormat="1">
      <c r="A269" s="18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</row>
    <row r="270" spans="1:21" s="17" customFormat="1">
      <c r="A270" s="18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</row>
    <row r="271" spans="1:21" s="17" customFormat="1">
      <c r="A271" s="18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</row>
    <row r="272" spans="1:21" s="17" customFormat="1">
      <c r="A272" s="18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</row>
    <row r="273" spans="1:21" s="17" customFormat="1">
      <c r="A273" s="18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</row>
    <row r="274" spans="1:21" s="17" customFormat="1">
      <c r="A274" s="18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</row>
    <row r="275" spans="1:21" s="17" customFormat="1">
      <c r="A275" s="18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</row>
    <row r="276" spans="1:21" s="17" customFormat="1">
      <c r="A276" s="18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</row>
    <row r="277" spans="1:21" s="17" customFormat="1">
      <c r="A277" s="18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</row>
    <row r="278" spans="1:21" s="17" customFormat="1">
      <c r="A278" s="18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</row>
    <row r="279" spans="1:21" s="17" customFormat="1">
      <c r="A279" s="18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</row>
    <row r="280" spans="1:21" s="17" customFormat="1">
      <c r="A280" s="18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</row>
    <row r="281" spans="1:21" s="17" customFormat="1">
      <c r="A281" s="18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</row>
    <row r="282" spans="1:21" s="17" customFormat="1">
      <c r="A282" s="18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  <c r="U282" s="65"/>
    </row>
    <row r="283" spans="1:21" s="17" customFormat="1">
      <c r="A283" s="18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</row>
    <row r="284" spans="1:21" s="17" customFormat="1">
      <c r="A284" s="18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</row>
    <row r="285" spans="1:21" s="17" customFormat="1">
      <c r="A285" s="18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</row>
    <row r="286" spans="1:21" s="17" customFormat="1">
      <c r="A286" s="18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</row>
    <row r="287" spans="1:21" s="17" customFormat="1">
      <c r="A287" s="18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</row>
    <row r="288" spans="1:21" s="17" customFormat="1">
      <c r="A288" s="18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</row>
    <row r="289" spans="1:21" s="17" customFormat="1">
      <c r="A289" s="18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</row>
    <row r="290" spans="1:21" s="17" customFormat="1">
      <c r="A290" s="18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</row>
    <row r="291" spans="1:21" s="17" customFormat="1">
      <c r="A291" s="18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</row>
    <row r="292" spans="1:21" s="17" customFormat="1">
      <c r="A292" s="18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</row>
    <row r="293" spans="1:21" s="17" customFormat="1">
      <c r="A293" s="18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</row>
    <row r="294" spans="1:21" s="17" customFormat="1">
      <c r="A294" s="18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</row>
    <row r="295" spans="1:21" s="17" customFormat="1">
      <c r="A295" s="18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</row>
    <row r="296" spans="1:21" s="17" customFormat="1">
      <c r="A296" s="18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</row>
    <row r="297" spans="1:21" s="17" customFormat="1">
      <c r="A297" s="18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</row>
    <row r="298" spans="1:21" s="17" customFormat="1">
      <c r="A298" s="18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</row>
    <row r="299" spans="1:21" s="17" customFormat="1">
      <c r="A299" s="18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</row>
    <row r="300" spans="1:21" s="17" customFormat="1">
      <c r="A300" s="18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</row>
    <row r="301" spans="1:21" s="17" customFormat="1">
      <c r="A301" s="18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</row>
    <row r="302" spans="1:21" s="17" customFormat="1">
      <c r="A302" s="18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</row>
    <row r="303" spans="1:21" s="17" customFormat="1">
      <c r="A303" s="18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</row>
    <row r="304" spans="1:21" s="17" customFormat="1">
      <c r="A304" s="18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</row>
    <row r="305" spans="1:21" s="17" customFormat="1">
      <c r="A305" s="18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</row>
    <row r="306" spans="1:21" s="17" customFormat="1">
      <c r="A306" s="18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</row>
    <row r="307" spans="1:21" s="17" customFormat="1">
      <c r="A307" s="18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</row>
    <row r="308" spans="1:21" s="17" customFormat="1">
      <c r="A308" s="18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</row>
    <row r="309" spans="1:21" s="17" customFormat="1">
      <c r="A309" s="18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</row>
    <row r="310" spans="1:21" s="17" customFormat="1">
      <c r="A310" s="18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  <c r="U310" s="65"/>
    </row>
    <row r="311" spans="1:21" s="17" customFormat="1">
      <c r="A311" s="18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</row>
    <row r="312" spans="1:21" s="17" customFormat="1">
      <c r="A312" s="18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</row>
    <row r="313" spans="1:21" s="17" customFormat="1">
      <c r="A313" s="18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</row>
    <row r="314" spans="1:21" s="17" customFormat="1">
      <c r="A314" s="18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</row>
    <row r="315" spans="1:21" s="17" customFormat="1">
      <c r="A315" s="18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</row>
    <row r="316" spans="1:21" s="17" customFormat="1">
      <c r="A316" s="18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</row>
    <row r="317" spans="1:21" s="17" customFormat="1">
      <c r="A317" s="18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</row>
    <row r="318" spans="1:21" s="17" customFormat="1">
      <c r="A318" s="18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</row>
    <row r="319" spans="1:21" s="17" customFormat="1">
      <c r="A319" s="18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</row>
    <row r="320" spans="1:21" s="17" customFormat="1">
      <c r="A320" s="18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</row>
    <row r="321" spans="1:21" s="17" customFormat="1">
      <c r="A321" s="18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</row>
    <row r="322" spans="1:21" s="17" customFormat="1">
      <c r="A322" s="18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</row>
    <row r="323" spans="1:21" s="17" customFormat="1">
      <c r="A323" s="18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</row>
    <row r="324" spans="1:21" s="17" customFormat="1">
      <c r="A324" s="18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</row>
    <row r="325" spans="1:21" s="17" customFormat="1">
      <c r="A325" s="18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</row>
    <row r="326" spans="1:21" s="17" customFormat="1">
      <c r="A326" s="18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</row>
    <row r="327" spans="1:21" s="17" customFormat="1">
      <c r="A327" s="18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</row>
    <row r="328" spans="1:21" s="17" customFormat="1">
      <c r="A328" s="18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</row>
    <row r="329" spans="1:21" s="17" customFormat="1">
      <c r="A329" s="18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</row>
    <row r="330" spans="1:21" s="17" customFormat="1">
      <c r="A330" s="18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</row>
    <row r="331" spans="1:21" s="17" customFormat="1">
      <c r="A331" s="18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</row>
    <row r="332" spans="1:21" s="17" customFormat="1">
      <c r="A332" s="18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</row>
    <row r="333" spans="1:21" s="17" customFormat="1">
      <c r="A333" s="18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</row>
    <row r="334" spans="1:21" s="17" customFormat="1">
      <c r="A334" s="18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</row>
    <row r="335" spans="1:21" s="17" customFormat="1">
      <c r="A335" s="18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</row>
    <row r="336" spans="1:21" s="17" customFormat="1">
      <c r="A336" s="18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</row>
    <row r="337" spans="1:21" s="17" customFormat="1">
      <c r="A337" s="18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</row>
    <row r="338" spans="1:21" s="17" customFormat="1">
      <c r="A338" s="18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</row>
    <row r="339" spans="1:21" s="17" customFormat="1">
      <c r="A339" s="18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</row>
    <row r="340" spans="1:21" s="17" customFormat="1">
      <c r="A340" s="18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</row>
    <row r="341" spans="1:21" s="17" customFormat="1">
      <c r="A341" s="18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</row>
    <row r="342" spans="1:21" s="17" customFormat="1">
      <c r="A342" s="18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</row>
    <row r="343" spans="1:21" s="17" customFormat="1">
      <c r="A343" s="18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</row>
    <row r="344" spans="1:21" s="17" customFormat="1">
      <c r="A344" s="18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</row>
    <row r="345" spans="1:21" s="17" customFormat="1">
      <c r="A345" s="18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</row>
    <row r="346" spans="1:21" s="17" customFormat="1">
      <c r="A346" s="18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</row>
    <row r="347" spans="1:21" s="17" customFormat="1">
      <c r="A347" s="18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</row>
    <row r="348" spans="1:21" s="17" customFormat="1">
      <c r="A348" s="18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</row>
    <row r="349" spans="1:21" s="17" customFormat="1">
      <c r="A349" s="18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</row>
    <row r="350" spans="1:21" s="17" customFormat="1">
      <c r="A350" s="18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</row>
    <row r="351" spans="1:21" s="17" customFormat="1">
      <c r="A351" s="18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</row>
    <row r="352" spans="1:21" s="17" customFormat="1">
      <c r="A352" s="18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</row>
    <row r="353" spans="1:21" s="17" customFormat="1">
      <c r="A353" s="18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</row>
    <row r="354" spans="1:21" s="17" customFormat="1">
      <c r="A354" s="18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</row>
    <row r="355" spans="1:21" s="17" customFormat="1">
      <c r="A355" s="18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</row>
    <row r="356" spans="1:21" s="17" customFormat="1">
      <c r="A356" s="18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</row>
    <row r="357" spans="1:21" s="17" customFormat="1">
      <c r="A357" s="18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</row>
    <row r="358" spans="1:21" s="17" customFormat="1">
      <c r="A358" s="18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</row>
    <row r="359" spans="1:21" s="17" customFormat="1">
      <c r="A359" s="18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</row>
    <row r="360" spans="1:21" s="17" customFormat="1">
      <c r="A360" s="18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</row>
    <row r="361" spans="1:21" s="17" customFormat="1">
      <c r="A361" s="18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</row>
    <row r="362" spans="1:21" s="17" customFormat="1">
      <c r="A362" s="18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</row>
    <row r="363" spans="1:21" s="17" customFormat="1">
      <c r="A363" s="18"/>
      <c r="D363" s="65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</row>
    <row r="364" spans="1:21" s="17" customFormat="1">
      <c r="A364" s="18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</row>
    <row r="365" spans="1:21" s="17" customFormat="1">
      <c r="A365" s="18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</row>
    <row r="366" spans="1:21" s="17" customFormat="1">
      <c r="A366" s="18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</row>
    <row r="367" spans="1:21" s="17" customFormat="1">
      <c r="A367" s="18"/>
      <c r="D367" s="65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</row>
    <row r="368" spans="1:21" s="17" customFormat="1">
      <c r="A368" s="18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</row>
    <row r="369" spans="1:21" s="17" customFormat="1">
      <c r="A369" s="18"/>
      <c r="D369" s="65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</row>
    <row r="370" spans="1:21" s="17" customFormat="1">
      <c r="A370" s="18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</row>
    <row r="371" spans="1:21" s="17" customFormat="1">
      <c r="A371" s="18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</row>
    <row r="372" spans="1:21" s="17" customFormat="1">
      <c r="A372" s="18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</row>
    <row r="373" spans="1:21" s="17" customFormat="1">
      <c r="A373" s="18"/>
      <c r="D373" s="65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</row>
    <row r="374" spans="1:21" s="17" customFormat="1">
      <c r="A374" s="18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</row>
    <row r="375" spans="1:21" s="17" customFormat="1">
      <c r="A375" s="18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</row>
    <row r="376" spans="1:21" s="17" customFormat="1">
      <c r="A376" s="18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</row>
    <row r="377" spans="1:21" s="17" customFormat="1">
      <c r="A377" s="18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</row>
    <row r="378" spans="1:21" s="17" customFormat="1">
      <c r="A378" s="18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</row>
    <row r="379" spans="1:21" s="17" customFormat="1">
      <c r="A379" s="18"/>
      <c r="D379" s="65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</row>
    <row r="380" spans="1:21" s="17" customFormat="1">
      <c r="A380" s="18"/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</row>
    <row r="381" spans="1:21" s="17" customFormat="1">
      <c r="A381" s="18"/>
      <c r="D381" s="65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</row>
    <row r="382" spans="1:21" s="17" customFormat="1">
      <c r="A382" s="18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</row>
    <row r="383" spans="1:21" s="17" customFormat="1">
      <c r="A383" s="18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</row>
    <row r="384" spans="1:21" s="17" customFormat="1">
      <c r="A384" s="18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</row>
    <row r="385" spans="1:21" s="17" customFormat="1">
      <c r="A385" s="18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</row>
    <row r="386" spans="1:21" s="17" customFormat="1">
      <c r="A386" s="18"/>
      <c r="D386" s="65"/>
      <c r="E386" s="65"/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</row>
    <row r="387" spans="1:21" s="17" customFormat="1">
      <c r="A387" s="18"/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</row>
    <row r="388" spans="1:21" s="17" customFormat="1">
      <c r="A388" s="18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</row>
    <row r="389" spans="1:21" s="17" customFormat="1">
      <c r="A389" s="18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</row>
    <row r="390" spans="1:21" s="17" customFormat="1">
      <c r="A390" s="18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</row>
    <row r="391" spans="1:21" s="17" customFormat="1">
      <c r="A391" s="18"/>
      <c r="D391" s="65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</row>
    <row r="392" spans="1:21" s="17" customFormat="1">
      <c r="A392" s="18"/>
      <c r="D392" s="65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</row>
    <row r="393" spans="1:21" s="17" customFormat="1">
      <c r="A393" s="18"/>
      <c r="D393" s="65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</row>
    <row r="394" spans="1:21" s="17" customFormat="1">
      <c r="A394" s="18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</row>
    <row r="395" spans="1:21" s="17" customFormat="1">
      <c r="A395" s="18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</row>
    <row r="396" spans="1:21" s="17" customFormat="1">
      <c r="A396" s="18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</row>
    <row r="397" spans="1:21" s="17" customFormat="1">
      <c r="A397" s="18"/>
      <c r="D397" s="65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</row>
    <row r="398" spans="1:21" s="17" customFormat="1">
      <c r="A398" s="18"/>
      <c r="D398" s="65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</row>
    <row r="399" spans="1:21" s="17" customFormat="1">
      <c r="A399" s="18"/>
      <c r="D399" s="65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</row>
    <row r="400" spans="1:21" s="17" customFormat="1">
      <c r="A400" s="18"/>
      <c r="D400" s="65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</row>
    <row r="401" spans="1:21" s="17" customFormat="1">
      <c r="A401" s="18"/>
      <c r="D401" s="65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</row>
    <row r="402" spans="1:21" s="17" customFormat="1">
      <c r="A402" s="18"/>
      <c r="D402" s="65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</row>
    <row r="403" spans="1:21" s="17" customFormat="1">
      <c r="A403" s="18"/>
      <c r="D403" s="65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</row>
    <row r="404" spans="1:21" s="17" customFormat="1">
      <c r="A404" s="18"/>
      <c r="D404" s="65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</row>
    <row r="405" spans="1:21" s="17" customFormat="1">
      <c r="A405" s="18"/>
      <c r="D405" s="65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</row>
    <row r="406" spans="1:21" s="17" customFormat="1">
      <c r="A406" s="18"/>
      <c r="D406" s="65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</row>
    <row r="407" spans="1:21" s="17" customFormat="1">
      <c r="A407" s="18"/>
      <c r="D407" s="65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</row>
    <row r="408" spans="1:21" s="17" customFormat="1">
      <c r="A408" s="18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</row>
    <row r="409" spans="1:21" s="17" customFormat="1">
      <c r="A409" s="18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</row>
    <row r="410" spans="1:21" s="17" customFormat="1">
      <c r="A410" s="18"/>
      <c r="D410" s="65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</row>
    <row r="411" spans="1:21" s="17" customFormat="1">
      <c r="A411" s="18"/>
      <c r="D411" s="65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</row>
    <row r="412" spans="1:21" s="17" customFormat="1">
      <c r="A412" s="18"/>
      <c r="D412" s="65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</row>
    <row r="413" spans="1:21" s="17" customFormat="1">
      <c r="A413" s="18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</row>
    <row r="414" spans="1:21" s="17" customFormat="1">
      <c r="A414" s="18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</row>
    <row r="415" spans="1:21" s="17" customFormat="1">
      <c r="A415" s="18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</row>
    <row r="416" spans="1:21" s="17" customFormat="1">
      <c r="A416" s="18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</row>
    <row r="417" spans="1:21" s="17" customFormat="1">
      <c r="A417" s="18"/>
      <c r="D417" s="65"/>
      <c r="E417" s="65"/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</row>
    <row r="418" spans="1:21" s="17" customFormat="1">
      <c r="A418" s="18"/>
      <c r="D418" s="65"/>
      <c r="E418" s="65"/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</row>
    <row r="419" spans="1:21" s="17" customFormat="1">
      <c r="A419" s="18"/>
      <c r="D419" s="65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</row>
    <row r="420" spans="1:21" s="17" customFormat="1">
      <c r="A420" s="18"/>
      <c r="D420" s="65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</row>
    <row r="421" spans="1:21" s="17" customFormat="1">
      <c r="A421" s="18"/>
      <c r="D421" s="65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</row>
    <row r="422" spans="1:21" s="17" customFormat="1">
      <c r="A422" s="18"/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</row>
    <row r="423" spans="1:21" s="17" customFormat="1">
      <c r="A423" s="18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</row>
    <row r="424" spans="1:21" s="17" customFormat="1">
      <c r="A424" s="18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</row>
    <row r="425" spans="1:21" s="17" customFormat="1">
      <c r="A425" s="18"/>
      <c r="D425" s="65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</row>
    <row r="426" spans="1:21" s="17" customFormat="1">
      <c r="A426" s="18"/>
      <c r="D426" s="65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</row>
    <row r="427" spans="1:21" s="17" customFormat="1">
      <c r="A427" s="18"/>
      <c r="D427" s="65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</row>
    <row r="428" spans="1:21" s="17" customFormat="1">
      <c r="A428" s="18"/>
      <c r="D428" s="65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</row>
    <row r="429" spans="1:21" s="17" customFormat="1">
      <c r="A429" s="18"/>
      <c r="D429" s="65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</row>
  </sheetData>
  <autoFilter ref="C39:C192">
    <filterColumn colId="0">
      <iconFilter iconSet="3Arrows"/>
    </filterColumn>
  </autoFilter>
  <mergeCells count="69">
    <mergeCell ref="A185:C185"/>
    <mergeCell ref="A192:C192"/>
    <mergeCell ref="A196:C196"/>
    <mergeCell ref="B197:G197"/>
    <mergeCell ref="A198:C198"/>
    <mergeCell ref="A184:C184"/>
    <mergeCell ref="A138:C138"/>
    <mergeCell ref="A145:C145"/>
    <mergeCell ref="A146:C146"/>
    <mergeCell ref="A155:C155"/>
    <mergeCell ref="A156:C156"/>
    <mergeCell ref="A162:C162"/>
    <mergeCell ref="A163:C163"/>
    <mergeCell ref="A170:C170"/>
    <mergeCell ref="A171:C171"/>
    <mergeCell ref="A177:C177"/>
    <mergeCell ref="A178:C178"/>
    <mergeCell ref="A137:C137"/>
    <mergeCell ref="A94:C94"/>
    <mergeCell ref="A100:C100"/>
    <mergeCell ref="A101:C101"/>
    <mergeCell ref="A108:C108"/>
    <mergeCell ref="A109:C109"/>
    <mergeCell ref="A115:C115"/>
    <mergeCell ref="A116:C116"/>
    <mergeCell ref="A122:C122"/>
    <mergeCell ref="A123:C123"/>
    <mergeCell ref="A129:C129"/>
    <mergeCell ref="A130:C130"/>
    <mergeCell ref="A33:C33"/>
    <mergeCell ref="A93:C93"/>
    <mergeCell ref="A48:C48"/>
    <mergeCell ref="A55:C55"/>
    <mergeCell ref="A56:C56"/>
    <mergeCell ref="A65:C65"/>
    <mergeCell ref="A66:C66"/>
    <mergeCell ref="A71:C71"/>
    <mergeCell ref="A72:C72"/>
    <mergeCell ref="A79:C79"/>
    <mergeCell ref="A80:C80"/>
    <mergeCell ref="A85:C85"/>
    <mergeCell ref="A86:C86"/>
    <mergeCell ref="A47:C47"/>
    <mergeCell ref="B12:C12"/>
    <mergeCell ref="A13:B13"/>
    <mergeCell ref="M7:O7"/>
    <mergeCell ref="Q7:Q8"/>
    <mergeCell ref="A32:C32"/>
    <mergeCell ref="H7:J7"/>
    <mergeCell ref="L7:L8"/>
    <mergeCell ref="R7:T7"/>
    <mergeCell ref="A10:T10"/>
    <mergeCell ref="B11:T11"/>
    <mergeCell ref="A17:B17"/>
    <mergeCell ref="B19:C19"/>
    <mergeCell ref="A24:C24"/>
    <mergeCell ref="N1:T1"/>
    <mergeCell ref="A3:T3"/>
    <mergeCell ref="A5:A8"/>
    <mergeCell ref="B5:B8"/>
    <mergeCell ref="C5:C8"/>
    <mergeCell ref="D5:E6"/>
    <mergeCell ref="F5:T5"/>
    <mergeCell ref="F6:J6"/>
    <mergeCell ref="K6:O6"/>
    <mergeCell ref="P6:T6"/>
    <mergeCell ref="A15:C15"/>
    <mergeCell ref="E7:E8"/>
    <mergeCell ref="G7:G8"/>
  </mergeCells>
  <printOptions horizontalCentered="1"/>
  <pageMargins left="0.39370078740157483" right="0.39370078740157483" top="0.98425196850393704" bottom="0.39370078740157483" header="0.31496062992125984" footer="0.51181102362204722"/>
  <pageSetup paperSize="9" scale="38" firstPageNumber="99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17.12.2025 уточ</vt:lpstr>
      <vt:lpstr>'17.12.2025 уточ'!Z_D9A49370_59EF_4DF5_B20D_A46D1CBDF607_.wvu.PrintTitles</vt:lpstr>
      <vt:lpstr>'17.12.2025 уточ'!Заголовки_для_печати</vt:lpstr>
      <vt:lpstr>'17.12.2025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2025-12-17T09:43:00Z</cp:lastPrinted>
  <dcterms:created xsi:type="dcterms:W3CDTF">2023-06-29T08:05:20Z</dcterms:created>
  <dcterms:modified xsi:type="dcterms:W3CDTF">2025-12-17T09:43:03Z</dcterms:modified>
  <dc:language>ru-RU</dc:language>
</cp:coreProperties>
</file>